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3040" windowHeight="8616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Gyplyner" sheetId="80" r:id="rId4"/>
    <sheet name="Data" sheetId="98" r:id="rId5"/>
    <sheet name="SL40 80x40" sheetId="47" state="hidden" r:id="rId6"/>
  </sheets>
  <definedNames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H19" i="80" l="1"/>
  <c r="E19" i="80"/>
  <c r="G19" i="80" s="1"/>
  <c r="H15" i="80" l="1"/>
  <c r="H23" i="80" l="1"/>
  <c r="H21" i="80"/>
  <c r="G97" i="98" l="1"/>
  <c r="G98" i="98"/>
  <c r="G96" i="98"/>
  <c r="G95" i="98"/>
  <c r="J23" i="80" l="1"/>
  <c r="G93" i="98"/>
  <c r="G92" i="98"/>
  <c r="E23" i="80" s="1"/>
  <c r="G23" i="80" s="1"/>
  <c r="P27" i="80"/>
  <c r="P23" i="80"/>
  <c r="P17" i="80"/>
  <c r="P18" i="80" l="1"/>
  <c r="A19" i="80" l="1"/>
  <c r="A14" i="80" l="1"/>
  <c r="A11" i="80" l="1"/>
  <c r="H11" i="80"/>
  <c r="G48" i="98" l="1"/>
  <c r="E11" i="80" s="1"/>
  <c r="G11" i="80" s="1"/>
  <c r="A16" i="80" l="1"/>
  <c r="A22" i="80"/>
  <c r="A21" i="80"/>
  <c r="A20" i="80"/>
  <c r="A18" i="80"/>
  <c r="A17" i="80"/>
  <c r="A15" i="80"/>
  <c r="A13" i="80"/>
  <c r="A12" i="80"/>
  <c r="A10" i="80"/>
  <c r="H22" i="80" l="1"/>
  <c r="H20" i="80"/>
  <c r="H18" i="80"/>
  <c r="H17" i="80"/>
  <c r="H16" i="80"/>
  <c r="H14" i="80"/>
  <c r="H13" i="80"/>
  <c r="H12" i="80"/>
  <c r="H10" i="80"/>
  <c r="G49" i="98"/>
  <c r="G20" i="98"/>
  <c r="G21" i="98"/>
  <c r="G19" i="98"/>
  <c r="G15" i="98"/>
  <c r="G16" i="98"/>
  <c r="G14" i="98"/>
  <c r="E88" i="98"/>
  <c r="E87" i="98"/>
  <c r="D5" i="80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G52" i="98" l="1"/>
  <c r="F23" i="80"/>
  <c r="E10" i="80"/>
  <c r="G33" i="98"/>
  <c r="G42" i="98"/>
  <c r="G36" i="98"/>
  <c r="G35" i="98"/>
  <c r="G26" i="98"/>
  <c r="G34" i="98"/>
  <c r="G25" i="98"/>
  <c r="G39" i="98"/>
  <c r="G24" i="98"/>
  <c r="G55" i="98"/>
  <c r="E17" i="80" s="1"/>
  <c r="G17" i="80" s="1"/>
  <c r="D7" i="80"/>
  <c r="G68" i="98" s="1"/>
  <c r="G45" i="98"/>
  <c r="F11" i="80"/>
  <c r="F19" i="80" l="1"/>
  <c r="G30" i="98"/>
  <c r="E13" i="80" s="1"/>
  <c r="J13" i="80" s="1"/>
  <c r="G10" i="80"/>
  <c r="J10" i="80"/>
  <c r="F10" i="80"/>
  <c r="G29" i="98"/>
  <c r="E14" i="80"/>
  <c r="E18" i="80"/>
  <c r="G84" i="98" s="1"/>
  <c r="G63" i="98"/>
  <c r="G59" i="98"/>
  <c r="G58" i="98"/>
  <c r="G67" i="98"/>
  <c r="G66" i="98"/>
  <c r="F17" i="80"/>
  <c r="J17" i="80"/>
  <c r="G62" i="98"/>
  <c r="G77" i="98"/>
  <c r="G88" i="98"/>
  <c r="G60" i="98"/>
  <c r="G87" i="98"/>
  <c r="G78" i="98"/>
  <c r="G61" i="98"/>
  <c r="G69" i="98"/>
  <c r="E16" i="80" s="1"/>
  <c r="G16" i="80" s="1"/>
  <c r="J11" i="80"/>
  <c r="E15" i="80" l="1"/>
  <c r="G15" i="80" s="1"/>
  <c r="J19" i="80"/>
  <c r="G81" i="98"/>
  <c r="G18" i="80"/>
  <c r="G73" i="98"/>
  <c r="E12" i="80" s="1"/>
  <c r="G12" i="80" s="1"/>
  <c r="G14" i="80"/>
  <c r="F13" i="80"/>
  <c r="G13" i="80"/>
  <c r="E22" i="80"/>
  <c r="F16" i="80"/>
  <c r="J16" i="80"/>
  <c r="E20" i="80"/>
  <c r="F14" i="80"/>
  <c r="J14" i="80"/>
  <c r="F18" i="80"/>
  <c r="J18" i="80"/>
  <c r="G82" i="98"/>
  <c r="E21" i="80" s="1"/>
  <c r="G21" i="80" s="1"/>
  <c r="J15" i="80" l="1"/>
  <c r="F15" i="80"/>
  <c r="G22" i="80"/>
  <c r="F22" i="80"/>
  <c r="J22" i="80"/>
  <c r="J20" i="80"/>
  <c r="G20" i="80"/>
  <c r="F20" i="80"/>
  <c r="F21" i="80"/>
  <c r="J21" i="80"/>
  <c r="F12" i="80"/>
  <c r="J12" i="80"/>
  <c r="J25" i="80" l="1"/>
  <c r="J26" i="80" s="1"/>
  <c r="G25" i="80"/>
  <c r="G26" i="80" s="1"/>
</calcChain>
</file>

<file path=xl/comments1.xml><?xml version="1.0" encoding="utf-8"?>
<comments xmlns="http://schemas.openxmlformats.org/spreadsheetml/2006/main">
  <authors>
    <author>Thongsiri, Teerasak</author>
    <author>CHAROENRAT, Dhittita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หากเป็นผนังเปลี่ยนเป็น 0.6 ซม.
หากเป็นฝ้าเปลี่ยนเป็น 0.4 ซม.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หากเป็นผนังเปลี่ยนเป็น 0.8 ซม.
หากเป็นฝ้าเปลี่ยนเป็น 0.6 ซม.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ระยะต่ำสุด 0.025 ม.
ระยะสูงสุด 0.07 ม.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CHAROENRAT, Dhittita:</t>
        </r>
        <r>
          <rPr>
            <sz val="9"/>
            <color indexed="81"/>
            <rFont val="Tahoma"/>
            <family val="2"/>
          </rPr>
          <t xml:space="preserve">
เทคนิคแนะนำที่ 5%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87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88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  <comment ref="A95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up to 1.8 m.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on kerb and above 200mm.</t>
        </r>
      </text>
    </comment>
    <comment ref="A9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up to 1.8 m.</t>
        </r>
      </text>
    </comment>
    <comment ref="A98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on kerb and above 200mm.</t>
        </r>
      </text>
    </comment>
  </commentList>
</comments>
</file>

<file path=xl/sharedStrings.xml><?xml version="1.0" encoding="utf-8"?>
<sst xmlns="http://schemas.openxmlformats.org/spreadsheetml/2006/main" count="522" uniqueCount="250">
  <si>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</si>
  <si>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</si>
  <si>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</si>
  <si>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</si>
  <si>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</si>
  <si>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</si>
  <si>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</si>
  <si>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</si>
  <si>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</si>
  <si>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</si>
  <si>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</si>
  <si>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</si>
  <si>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</si>
  <si>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</si>
  <si>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</si>
  <si>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</si>
  <si>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</si>
  <si>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</si>
  <si>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</si>
  <si>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</si>
  <si>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</si>
  <si>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</si>
  <si>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</si>
  <si>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</si>
  <si>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</si>
  <si>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</si>
  <si>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</si>
  <si>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</si>
  <si>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</si>
  <si>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</si>
  <si>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</si>
  <si>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</si>
  <si>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</si>
  <si>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</si>
  <si>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</si>
  <si>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</si>
  <si>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</si>
  <si>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</si>
  <si>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</si>
  <si>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</si>
  <si>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</si>
  <si>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</si>
  <si>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</si>
  <si>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</si>
  <si>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</si>
  <si>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</si>
  <si>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</si>
  <si>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</si>
  <si>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</si>
  <si>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</si>
  <si>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</si>
  <si>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</si>
  <si>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</si>
  <si>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</si>
  <si>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</si>
  <si>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</si>
  <si>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</si>
  <si>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</si>
  <si>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</si>
  <si>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</si>
  <si>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</si>
  <si>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</si>
  <si>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</si>
  <si>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</si>
  <si>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  <family val="1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</si>
  <si>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</si>
  <si>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</si>
  <si>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</si>
  <si>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</si>
  <si>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ค่าคลาดเคลื่อน</t>
  </si>
  <si>
    <t>ระยะระหว่างท้องพื้นถึงระดับฝ้า</t>
  </si>
  <si>
    <t>ม.</t>
  </si>
  <si>
    <t>จำนวนที่ใช้</t>
  </si>
  <si>
    <t>ตัว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</si>
  <si>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</si>
  <si>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</si>
  <si>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</si>
  <si>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</si>
  <si>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</si>
  <si>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</si>
  <si>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</si>
  <si>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Price</t>
  </si>
  <si>
    <t>Stud</t>
  </si>
  <si>
    <t>length</t>
  </si>
  <si>
    <t>width</t>
  </si>
  <si>
    <t>kg/unit</t>
  </si>
  <si>
    <t>usage</t>
  </si>
  <si>
    <t>Weight</t>
  </si>
  <si>
    <t>Angle</t>
  </si>
  <si>
    <t>ML50A</t>
  </si>
  <si>
    <t>Metal fixing</t>
  </si>
  <si>
    <t>ML1A</t>
  </si>
  <si>
    <t>Soffit cleat</t>
  </si>
  <si>
    <t>Rod joiner</t>
  </si>
  <si>
    <t>Rod-Joiner</t>
  </si>
  <si>
    <t>Rod</t>
  </si>
  <si>
    <t>Channel connector</t>
  </si>
  <si>
    <t>ML3A</t>
  </si>
  <si>
    <t>Drywall screw 25mm</t>
  </si>
  <si>
    <t>Sub channel</t>
  </si>
  <si>
    <t>Main channel</t>
  </si>
  <si>
    <t>Expansion bolt 6mm</t>
  </si>
  <si>
    <t>ML9A</t>
  </si>
  <si>
    <t>Connection clip</t>
  </si>
  <si>
    <t>Joint compound</t>
  </si>
  <si>
    <t>Tape</t>
  </si>
  <si>
    <t>Cotton tape</t>
  </si>
  <si>
    <t>C-Stud 49S50</t>
  </si>
  <si>
    <t>C-Stud 62S50</t>
  </si>
  <si>
    <t>C-Stud 74S50</t>
  </si>
  <si>
    <t>C-Stud 92S50</t>
  </si>
  <si>
    <t>Track</t>
  </si>
  <si>
    <t>U-Track 51T50</t>
  </si>
  <si>
    <t>U-Track 64T50</t>
  </si>
  <si>
    <t>U-Track 76T50</t>
  </si>
  <si>
    <t>U-Track 94T50</t>
  </si>
  <si>
    <t>Board</t>
  </si>
  <si>
    <t>thick</t>
  </si>
  <si>
    <t>FS 16mm 1200x2400</t>
  </si>
  <si>
    <t>ThermaLine 44mm 1200x2400</t>
  </si>
  <si>
    <t>Expansion bolt</t>
  </si>
  <si>
    <t>Drywall screw 38mm</t>
  </si>
  <si>
    <t>Hartfix screw 25mm</t>
  </si>
  <si>
    <t>Hartfix screw 38mm</t>
  </si>
  <si>
    <t>Screw 75mm</t>
  </si>
  <si>
    <t>Hartfix screw 45mm</t>
  </si>
  <si>
    <t>Wafer head screw</t>
  </si>
  <si>
    <t>Wafer head screw 13mm</t>
  </si>
  <si>
    <t>Jointing plaster</t>
  </si>
  <si>
    <t>Gyproc Joint Filler/Finish</t>
  </si>
  <si>
    <t>Length</t>
  </si>
  <si>
    <t>Weber BE14 Tape (10m.)</t>
  </si>
  <si>
    <t>Insulation</t>
  </si>
  <si>
    <t>Width</t>
  </si>
  <si>
    <t>Sealant</t>
  </si>
  <si>
    <t>Volume</t>
  </si>
  <si>
    <t>Normal sealant 600ml</t>
  </si>
  <si>
    <t>Gyproc Super Joint</t>
  </si>
  <si>
    <t>ISOVER Building Insulation 24K</t>
  </si>
  <si>
    <t>ISOVER Building Insulation 40K</t>
  </si>
  <si>
    <t>XL50</t>
  </si>
  <si>
    <t>SL40</t>
  </si>
  <si>
    <t>45x18</t>
  </si>
  <si>
    <t>37x14</t>
  </si>
  <si>
    <t>35x12</t>
  </si>
  <si>
    <t>GA1</t>
  </si>
  <si>
    <t>25x25</t>
  </si>
  <si>
    <t>XL9</t>
  </si>
  <si>
    <t>SL9</t>
  </si>
  <si>
    <t>XL3</t>
  </si>
  <si>
    <t>42.5x15.5</t>
  </si>
  <si>
    <t>34x9</t>
  </si>
  <si>
    <t>Suspension hook</t>
  </si>
  <si>
    <t>XL1</t>
  </si>
  <si>
    <t>ML1</t>
  </si>
  <si>
    <t>Steel rod 4mm</t>
  </si>
  <si>
    <t>แผ่น</t>
  </si>
  <si>
    <t>ม้วน</t>
  </si>
  <si>
    <t>520010010000001</t>
  </si>
  <si>
    <t>520010020000001</t>
  </si>
  <si>
    <t>520010010000002</t>
  </si>
  <si>
    <t>520010010000003</t>
  </si>
  <si>
    <t>520010010000004</t>
  </si>
  <si>
    <t>520010020000002</t>
  </si>
  <si>
    <t>520010020000003</t>
  </si>
  <si>
    <t>520010020000004</t>
  </si>
  <si>
    <t>520040020000005</t>
  </si>
  <si>
    <t>520040020000004</t>
  </si>
  <si>
    <t>520040010000005</t>
  </si>
  <si>
    <t>520080110000008</t>
  </si>
  <si>
    <t>520080110000007</t>
  </si>
  <si>
    <t>520080110000002</t>
  </si>
  <si>
    <t>520088250000001</t>
  </si>
  <si>
    <t>520088240000001</t>
  </si>
  <si>
    <t>520088230000001</t>
  </si>
  <si>
    <t>520088220000001</t>
  </si>
  <si>
    <t>520080120000001</t>
  </si>
  <si>
    <t>520080050000001</t>
  </si>
  <si>
    <t>520080030000003</t>
  </si>
  <si>
    <t>520080010000001</t>
  </si>
  <si>
    <t>520040050000003</t>
  </si>
  <si>
    <t>520080070000001</t>
  </si>
  <si>
    <t>520080080000001</t>
  </si>
  <si>
    <t>520080080000002</t>
  </si>
  <si>
    <t>520080080000011</t>
  </si>
  <si>
    <t>520080080000012</t>
  </si>
  <si>
    <t>520080080000013</t>
  </si>
  <si>
    <t>520080080000005</t>
  </si>
  <si>
    <t>520080080000004</t>
  </si>
  <si>
    <t>410010010100001</t>
  </si>
  <si>
    <t>410010010800001</t>
  </si>
  <si>
    <t>520080140000001</t>
  </si>
  <si>
    <t>520080140000004</t>
  </si>
  <si>
    <t>520088260000009</t>
  </si>
  <si>
    <t>520088260000010</t>
  </si>
  <si>
    <t>รหัสสินค้า</t>
  </si>
  <si>
    <t>ML75</t>
  </si>
  <si>
    <t>520080130000001</t>
  </si>
  <si>
    <t>ML6A</t>
  </si>
  <si>
    <t>19x29</t>
  </si>
  <si>
    <t>520020010000002</t>
  </si>
  <si>
    <t>Fiber mesh 5I</t>
  </si>
  <si>
    <t>ระยะโครง ML50A</t>
  </si>
  <si>
    <t>Drywall screws mm.</t>
  </si>
  <si>
    <t>Hartfix screws mm.</t>
  </si>
  <si>
    <t>1st Layer</t>
  </si>
  <si>
    <t>2nd Layer</t>
  </si>
  <si>
    <t>จำนวนชั้น</t>
  </si>
  <si>
    <t>บอร์ดที่ใช้</t>
  </si>
  <si>
    <t>DU 16mm 1200x2400</t>
  </si>
  <si>
    <t>การเลือกใช้กรู ex.1</t>
  </si>
  <si>
    <t>ความหนาบอร์ด
(mm.)</t>
  </si>
  <si>
    <t>สกรูต้องยาวมากกว่าหรือเท่ากับ
(mm.)</t>
  </si>
  <si>
    <t>การเลือกใช้กรู ex.2</t>
  </si>
  <si>
    <t>การเลือกใช้กรู ex.3</t>
  </si>
  <si>
    <t>ความสูงของผนัง</t>
  </si>
  <si>
    <t>ความยาวผนัง</t>
  </si>
  <si>
    <t>ระยะยึด Bracket</t>
  </si>
  <si>
    <t>พื้นที่เปียก - Weber.tape fiber Mesh 5
พื้นที่แห้ง - Gyproc Cotton tape</t>
  </si>
  <si>
    <t>สกรูต้องทะลุหลังแผ่น 10มม. ดังตัวอย่าง ex.1-3
กรณี ThermaLine ใช้สกรู 75mm. ทุกความหนา</t>
  </si>
  <si>
    <t>N/A</t>
  </si>
  <si>
    <t>หลอด</t>
  </si>
  <si>
    <t>***Unavailable item
Recommend to use other brand</t>
  </si>
  <si>
    <t>Fire sealant 580ml</t>
  </si>
  <si>
    <t>Perimeter Channel</t>
  </si>
  <si>
    <t>Wall mounting</t>
  </si>
  <si>
    <t>Board fixing (1st layer)</t>
  </si>
  <si>
    <t>Board fixing (2nd layer)</t>
  </si>
  <si>
    <t>Wall mount fixing</t>
  </si>
  <si>
    <t>Plasterboard (1st layer)</t>
  </si>
  <si>
    <t>Plasterboard (2nd layer)</t>
  </si>
  <si>
    <t>Gyproc TH ไม่มี sealant ขาย แนะนำให้ใช้ของแบรนด์อื่น</t>
  </si>
  <si>
    <t>งานผนัง - Gypfill SuperJoint</t>
  </si>
  <si>
    <t>Weber Dry Top (For MR)</t>
  </si>
  <si>
    <t>Weber Dry Top (For GlasRoc)</t>
  </si>
  <si>
    <t>Weber Dry 2Flex (For MR)</t>
  </si>
  <si>
    <t>Weber Dry 2Flex (For GlasRoc)</t>
  </si>
  <si>
    <t>45 *เนื่องจากเราไม่มี drywall screws 45mm. ขาย จึงต้องใช้ Hartfix แทน</t>
  </si>
  <si>
    <t>NA</t>
  </si>
  <si>
    <t>กล่อง</t>
  </si>
  <si>
    <t>ถุง (25 kg.)</t>
  </si>
  <si>
    <t>ม้วน (25 m.)</t>
  </si>
  <si>
    <t>ท่อน (4.00 ม.)</t>
  </si>
  <si>
    <t>ท่อน (2.40 ม.)</t>
  </si>
  <si>
    <t>Drywall screw (2nd layer)</t>
  </si>
  <si>
    <t>Drywall screw (1st layer)</t>
  </si>
  <si>
    <t>ผนังกรุทับ GypLyner โครงคร่าว ML50A ติดแผ่น Gyproc X20 9.2mm.</t>
  </si>
  <si>
    <t>Revised 13 April 2020</t>
  </si>
  <si>
    <t>X20 9.2mm 1200x2400</t>
  </si>
  <si>
    <t>100010020920001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</si>
</sst>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ngsanaUPC"/>
      <family val="1"/>
    </font>
    <font>
      <sz val="14"/>
      <color theme="1"/>
      <name val="AngsanaUPC"/>
      <family val="1"/>
    </font>
    <font>
      <b/>
      <sz val="14"/>
      <color theme="1"/>
      <name val="AngsanaUPC"/>
      <family val="1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0" fillId="23" borderId="0" xfId="0" applyFill="1" applyAlignment="1">
      <alignment horizontal="center"/>
    </xf>
    <xf numFmtId="0" fontId="3" fillId="23" borderId="0" xfId="0" applyFont="1" applyFill="1" applyBorder="1" applyAlignment="1">
      <alignment horizontal="center"/>
    </xf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0" fontId="15" fillId="22" borderId="0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0" fontId="0" fillId="0" borderId="23" xfId="0" applyBorder="1"/>
    <xf numFmtId="0" fontId="0" fillId="0" borderId="25" xfId="0" applyBorder="1"/>
    <xf numFmtId="0" fontId="0" fillId="24" borderId="26" xfId="0" applyFill="1" applyBorder="1" applyAlignment="1"/>
    <xf numFmtId="0" fontId="0" fillId="24" borderId="0" xfId="0" applyFill="1"/>
    <xf numFmtId="0" fontId="0" fillId="25" borderId="0" xfId="0" applyFill="1"/>
    <xf numFmtId="0" fontId="3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0" fontId="2" fillId="0" borderId="23" xfId="0" applyFont="1" applyBorder="1"/>
    <xf numFmtId="0" fontId="0" fillId="0" borderId="19" xfId="0" applyBorder="1" applyAlignment="1">
      <alignment horizontal="center"/>
    </xf>
    <xf numFmtId="2" fontId="0" fillId="25" borderId="0" xfId="0" applyNumberFormat="1" applyFill="1"/>
    <xf numFmtId="49" fontId="0" fillId="0" borderId="0" xfId="0" applyNumberFormat="1"/>
    <xf numFmtId="49" fontId="2" fillId="0" borderId="0" xfId="0" applyNumberFormat="1" applyFont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0" xfId="0" applyNumberFormat="1"/>
    <xf numFmtId="0" fontId="36" fillId="0" borderId="16" xfId="0" applyFont="1" applyBorder="1" applyAlignment="1">
      <alignment horizontal="center"/>
    </xf>
    <xf numFmtId="0" fontId="36" fillId="0" borderId="23" xfId="0" applyFont="1" applyBorder="1"/>
    <xf numFmtId="4" fontId="36" fillId="0" borderId="10" xfId="0" applyNumberFormat="1" applyFont="1" applyBorder="1" applyAlignment="1">
      <alignment horizontal="center"/>
    </xf>
    <xf numFmtId="2" fontId="36" fillId="0" borderId="10" xfId="0" applyNumberFormat="1" applyFont="1" applyBorder="1" applyAlignment="1">
      <alignment horizontal="center"/>
    </xf>
    <xf numFmtId="2" fontId="36" fillId="0" borderId="12" xfId="0" applyNumberFormat="1" applyFont="1" applyBorder="1" applyAlignment="1">
      <alignment horizontal="center"/>
    </xf>
    <xf numFmtId="4" fontId="36" fillId="0" borderId="12" xfId="0" applyNumberFormat="1" applyFont="1" applyBorder="1" applyAlignment="1">
      <alignment horizontal="center"/>
    </xf>
    <xf numFmtId="9" fontId="36" fillId="0" borderId="12" xfId="0" applyNumberFormat="1" applyFont="1" applyBorder="1" applyAlignment="1">
      <alignment horizontal="center"/>
    </xf>
    <xf numFmtId="4" fontId="36" fillId="0" borderId="13" xfId="0" applyNumberFormat="1" applyFont="1" applyBorder="1" applyAlignment="1">
      <alignment horizontal="center"/>
    </xf>
    <xf numFmtId="0" fontId="36" fillId="0" borderId="19" xfId="0" applyFont="1" applyFill="1" applyBorder="1"/>
    <xf numFmtId="0" fontId="0" fillId="18" borderId="0" xfId="0" applyFill="1" applyBorder="1" applyAlignment="1">
      <alignment horizontal="left"/>
    </xf>
    <xf numFmtId="9" fontId="3" fillId="0" borderId="0" xfId="0" applyNumberFormat="1" applyFont="1" applyFill="1" applyBorder="1" applyAlignment="1">
      <alignment horizontal="center"/>
    </xf>
    <xf numFmtId="0" fontId="0" fillId="0" borderId="19" xfId="0" applyFill="1" applyBorder="1"/>
    <xf numFmtId="0" fontId="0" fillId="0" borderId="17" xfId="0" applyFill="1" applyBorder="1"/>
    <xf numFmtId="0" fontId="14" fillId="23" borderId="0" xfId="0" applyFont="1" applyFill="1" applyBorder="1" applyAlignment="1">
      <alignment horizontal="center"/>
    </xf>
    <xf numFmtId="0" fontId="0" fillId="23" borderId="16" xfId="0" applyFill="1" applyBorder="1" applyAlignment="1">
      <alignment horizontal="center"/>
    </xf>
    <xf numFmtId="0" fontId="0" fillId="23" borderId="19" xfId="0" applyFill="1" applyBorder="1"/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0" fillId="23" borderId="16" xfId="0" applyFill="1" applyBorder="1" applyAlignment="1">
      <alignment vertical="center" wrapText="1" shrinkToFit="1"/>
    </xf>
    <xf numFmtId="0" fontId="36" fillId="23" borderId="16" xfId="0" applyFont="1" applyFill="1" applyBorder="1" applyAlignment="1">
      <alignment horizontal="center"/>
    </xf>
    <xf numFmtId="0" fontId="36" fillId="23" borderId="23" xfId="0" applyFont="1" applyFill="1" applyBorder="1"/>
    <xf numFmtId="0" fontId="36" fillId="23" borderId="19" xfId="0" applyFont="1" applyFill="1" applyBorder="1"/>
    <xf numFmtId="4" fontId="36" fillId="23" borderId="10" xfId="0" applyNumberFormat="1" applyFont="1" applyFill="1" applyBorder="1" applyAlignment="1">
      <alignment horizontal="center"/>
    </xf>
    <xf numFmtId="2" fontId="36" fillId="23" borderId="10" xfId="0" applyNumberFormat="1" applyFont="1" applyFill="1" applyBorder="1" applyAlignment="1">
      <alignment horizontal="center"/>
    </xf>
    <xf numFmtId="2" fontId="36" fillId="23" borderId="12" xfId="0" applyNumberFormat="1" applyFont="1" applyFill="1" applyBorder="1" applyAlignment="1">
      <alignment horizontal="center"/>
    </xf>
    <xf numFmtId="4" fontId="36" fillId="23" borderId="12" xfId="0" applyNumberFormat="1" applyFont="1" applyFill="1" applyBorder="1" applyAlignment="1">
      <alignment horizontal="center"/>
    </xf>
    <xf numFmtId="9" fontId="36" fillId="23" borderId="12" xfId="0" applyNumberFormat="1" applyFont="1" applyFill="1" applyBorder="1" applyAlignment="1">
      <alignment horizontal="center"/>
    </xf>
    <xf numFmtId="4" fontId="36" fillId="23" borderId="13" xfId="0" applyNumberFormat="1" applyFont="1" applyFill="1" applyBorder="1" applyAlignment="1">
      <alignment horizontal="center"/>
    </xf>
    <xf numFmtId="0" fontId="36" fillId="23" borderId="16" xfId="0" applyFont="1" applyFill="1" applyBorder="1" applyAlignment="1">
      <alignment horizontal="left" wrapText="1"/>
    </xf>
    <xf numFmtId="0" fontId="36" fillId="23" borderId="24" xfId="0" applyFont="1" applyFill="1" applyBorder="1"/>
    <xf numFmtId="0" fontId="0" fillId="0" borderId="0" xfId="0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27" borderId="26" xfId="0" applyFill="1" applyBorder="1"/>
    <xf numFmtId="0" fontId="0" fillId="27" borderId="26" xfId="0" applyFill="1" applyBorder="1" applyAlignment="1">
      <alignment horizontal="center"/>
    </xf>
    <xf numFmtId="0" fontId="0" fillId="28" borderId="26" xfId="0" applyFill="1" applyBorder="1"/>
    <xf numFmtId="0" fontId="0" fillId="0" borderId="34" xfId="0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2" fillId="0" borderId="26" xfId="0" applyFont="1" applyBorder="1" applyAlignment="1">
      <alignment horizontal="center" wrapText="1"/>
    </xf>
    <xf numFmtId="0" fontId="0" fillId="0" borderId="26" xfId="0" applyFill="1" applyBorder="1"/>
    <xf numFmtId="0" fontId="36" fillId="23" borderId="16" xfId="0" applyFont="1" applyFill="1" applyBorder="1" applyAlignment="1">
      <alignment horizontal="centerContinuous"/>
    </xf>
    <xf numFmtId="0" fontId="12" fillId="23" borderId="0" xfId="0" applyFont="1" applyFill="1" applyAlignment="1">
      <alignment horizontal="right"/>
    </xf>
    <xf numFmtId="0" fontId="12" fillId="23" borderId="0" xfId="0" applyFont="1" applyFill="1" applyAlignment="1">
      <alignment horizontal="center"/>
    </xf>
    <xf numFmtId="0" fontId="35" fillId="0" borderId="33" xfId="0" applyFont="1" applyBorder="1"/>
    <xf numFmtId="0" fontId="35" fillId="19" borderId="16" xfId="0" applyFont="1" applyFill="1" applyBorder="1" applyAlignment="1">
      <alignment horizontal="left" wrapText="1"/>
    </xf>
    <xf numFmtId="0" fontId="0" fillId="24" borderId="0" xfId="0" applyFill="1" applyAlignment="1">
      <alignment horizontal="right"/>
    </xf>
    <xf numFmtId="0" fontId="1" fillId="23" borderId="0" xfId="0" applyFont="1" applyFill="1" applyAlignment="1">
      <alignment horizontal="center"/>
    </xf>
    <xf numFmtId="2" fontId="1" fillId="23" borderId="0" xfId="0" applyNumberFormat="1" applyFont="1" applyFill="1" applyAlignment="1">
      <alignment horizontal="center"/>
    </xf>
    <xf numFmtId="0" fontId="0" fillId="23" borderId="0" xfId="0" applyFill="1"/>
    <xf numFmtId="4" fontId="0" fillId="23" borderId="14" xfId="0" applyNumberFormat="1" applyFill="1" applyBorder="1" applyAlignment="1">
      <alignment horizontal="center"/>
    </xf>
    <xf numFmtId="4" fontId="0" fillId="23" borderId="0" xfId="0" applyNumberFormat="1" applyFill="1" applyBorder="1" applyAlignment="1">
      <alignment horizontal="center"/>
    </xf>
    <xf numFmtId="0" fontId="15" fillId="23" borderId="0" xfId="0" applyFont="1" applyFill="1" applyBorder="1" applyAlignment="1">
      <alignment horizontal="center"/>
    </xf>
    <xf numFmtId="0" fontId="2" fillId="23" borderId="22" xfId="0" applyFont="1" applyFill="1" applyBorder="1"/>
    <xf numFmtId="0" fontId="2" fillId="0" borderId="22" xfId="0" applyFont="1" applyBorder="1"/>
    <xf numFmtId="0" fontId="0" fillId="23" borderId="23" xfId="0" applyFill="1" applyBorder="1"/>
    <xf numFmtId="0" fontId="0" fillId="23" borderId="17" xfId="0" applyFill="1" applyBorder="1"/>
    <xf numFmtId="0" fontId="1" fillId="23" borderId="16" xfId="0" applyFont="1" applyFill="1" applyBorder="1" applyAlignment="1">
      <alignment wrapText="1"/>
    </xf>
    <xf numFmtId="0" fontId="2" fillId="23" borderId="16" xfId="0" applyFont="1" applyFill="1" applyBorder="1" applyAlignment="1">
      <alignment wrapText="1"/>
    </xf>
    <xf numFmtId="0" fontId="2" fillId="23" borderId="23" xfId="0" applyFont="1" applyFill="1" applyBorder="1"/>
    <xf numFmtId="0" fontId="0" fillId="23" borderId="27" xfId="0" applyFill="1" applyBorder="1"/>
    <xf numFmtId="0" fontId="0" fillId="23" borderId="28" xfId="0" applyFill="1" applyBorder="1" applyAlignment="1">
      <alignment horizontal="center"/>
    </xf>
    <xf numFmtId="9" fontId="0" fillId="23" borderId="29" xfId="0" applyNumberFormat="1" applyFill="1" applyBorder="1" applyAlignment="1">
      <alignment horizontal="center"/>
    </xf>
    <xf numFmtId="0" fontId="1" fillId="23" borderId="16" xfId="0" applyFont="1" applyFill="1" applyBorder="1" applyAlignment="1">
      <alignment horizontal="left" wrapText="1"/>
    </xf>
    <xf numFmtId="0" fontId="0" fillId="29" borderId="0" xfId="0" applyFill="1"/>
    <xf numFmtId="0" fontId="2" fillId="28" borderId="26" xfId="0" applyFont="1" applyFill="1" applyBorder="1" applyAlignment="1">
      <alignment horizontal="left"/>
    </xf>
    <xf numFmtId="4" fontId="2" fillId="23" borderId="10" xfId="0" applyNumberFormat="1" applyFont="1" applyFill="1" applyBorder="1" applyAlignment="1">
      <alignment horizontal="center"/>
    </xf>
    <xf numFmtId="0" fontId="2" fillId="23" borderId="17" xfId="0" applyFont="1" applyFill="1" applyBorder="1" applyAlignment="1">
      <alignment horizontal="center"/>
    </xf>
    <xf numFmtId="0" fontId="1" fillId="0" borderId="0" xfId="0" applyFont="1"/>
    <xf numFmtId="4" fontId="36" fillId="0" borderId="1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30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37" fillId="19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20" borderId="31" xfId="0" applyFont="1" applyFill="1" applyBorder="1" applyAlignment="1">
      <alignment horizontal="center"/>
    </xf>
    <xf numFmtId="0" fontId="1" fillId="20" borderId="32" xfId="0" applyFon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856801</xdr:colOff>
      <xdr:row>3</xdr:row>
      <xdr:rowOff>55468</xdr:rowOff>
    </xdr:from>
    <xdr:to>
      <xdr:col>10</xdr:col>
      <xdr:colOff>1925456</xdr:colOff>
      <xdr:row>4</xdr:row>
      <xdr:rowOff>293593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417225" y="1086409"/>
          <a:ext cx="1068655" cy="632572"/>
        </a:xfrm>
        <a:prstGeom prst="wedgeRoundRectCallout">
          <a:avLst>
            <a:gd name="adj1" fmla="val -130254"/>
            <a:gd name="adj2" fmla="val -3259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362511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61" t="s">
        <v>61</v>
      </c>
      <c r="B3" s="161"/>
      <c r="C3" s="161"/>
      <c r="D3" s="161"/>
      <c r="E3" s="161"/>
      <c r="F3" s="161"/>
      <c r="G3" s="161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162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163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164" t="s">
        <v>44</v>
      </c>
    </row>
    <row r="17" spans="1:7" x14ac:dyDescent="0.5">
      <c r="A17" s="1"/>
      <c r="B17" s="5"/>
      <c r="C17" s="10"/>
      <c r="D17" s="7"/>
      <c r="E17" s="7"/>
      <c r="F17" s="9"/>
      <c r="G17" s="165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61" t="s">
        <v>67</v>
      </c>
      <c r="B3" s="161"/>
      <c r="C3" s="161"/>
      <c r="D3" s="161"/>
      <c r="E3" s="161"/>
      <c r="F3" s="161"/>
      <c r="G3" s="161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162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163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166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66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166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61" t="s">
        <v>59</v>
      </c>
      <c r="B3" s="161"/>
      <c r="C3" s="161"/>
      <c r="D3" s="161"/>
      <c r="E3" s="161"/>
      <c r="F3" s="161"/>
      <c r="G3" s="161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162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163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166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166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166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U30"/>
  <sheetViews>
    <sheetView tabSelected="1" zoomScale="85" zoomScaleNormal="85" workbookViewId="0">
      <selection activeCell="D8" sqref="D8"/>
    </sheetView>
  </sheetViews>
  <sheetFormatPr defaultRowHeight="19.8" x14ac:dyDescent="0.5"/>
  <cols>
    <col min="1" max="1" width="20.125" customWidth="1"/>
    <col min="2" max="2" width="19.75" customWidth="1"/>
    <col min="3" max="3" width="37.62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5.375" customWidth="1"/>
    <col min="13" max="13" width="20.125" customWidth="1"/>
    <col min="14" max="14" width="28.125" customWidth="1"/>
    <col min="15" max="15" width="15.25" style="120" customWidth="1"/>
    <col min="16" max="16" width="31.125" style="120" customWidth="1"/>
    <col min="17" max="17" width="17.25" style="120" customWidth="1"/>
    <col min="18" max="18" width="59.5" style="120" customWidth="1"/>
  </cols>
  <sheetData>
    <row r="1" spans="1:21" ht="23.4" x14ac:dyDescent="0.6">
      <c r="B1" s="168" t="s">
        <v>14</v>
      </c>
      <c r="C1" s="168"/>
      <c r="D1" s="168"/>
      <c r="E1" s="168"/>
      <c r="F1" s="168"/>
      <c r="G1" s="168"/>
      <c r="H1" s="168"/>
      <c r="I1" s="168"/>
      <c r="J1" s="168"/>
      <c r="K1" s="168"/>
    </row>
    <row r="2" spans="1:21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21" ht="34.799999999999997" x14ac:dyDescent="0.9">
      <c r="B3" s="161" t="s">
        <v>246</v>
      </c>
      <c r="C3" s="161"/>
      <c r="D3" s="161"/>
      <c r="E3" s="161"/>
      <c r="F3" s="161"/>
      <c r="G3" s="161"/>
      <c r="H3" s="161"/>
      <c r="I3" s="161"/>
      <c r="J3" s="161"/>
      <c r="K3" s="161"/>
      <c r="N3" s="4"/>
      <c r="O3" s="18"/>
      <c r="P3" s="18"/>
      <c r="Q3" s="18"/>
    </row>
    <row r="4" spans="1:21" ht="31.5" customHeight="1" x14ac:dyDescent="0.6">
      <c r="A4" s="172" t="s">
        <v>6</v>
      </c>
      <c r="B4" s="172"/>
      <c r="C4" s="172"/>
      <c r="D4" s="26"/>
      <c r="E4" s="26"/>
      <c r="F4" s="26"/>
      <c r="G4" s="26"/>
      <c r="H4" s="27"/>
      <c r="I4" s="59" t="s">
        <v>215</v>
      </c>
      <c r="J4" s="60">
        <v>2.8</v>
      </c>
      <c r="K4" s="65" t="s">
        <v>71</v>
      </c>
      <c r="N4" s="4"/>
      <c r="O4" s="18"/>
      <c r="P4" s="18"/>
      <c r="Q4" s="18"/>
      <c r="R4" s="18"/>
      <c r="S4" s="4"/>
      <c r="T4" s="4"/>
    </row>
    <row r="5" spans="1:21" ht="32.4" x14ac:dyDescent="0.85">
      <c r="A5" s="171" t="s">
        <v>27</v>
      </c>
      <c r="B5" s="171"/>
      <c r="C5" s="171"/>
      <c r="D5" s="143">
        <f>$J$4*$J$5</f>
        <v>28</v>
      </c>
      <c r="E5" s="29" t="s">
        <v>19</v>
      </c>
      <c r="F5" s="29"/>
      <c r="G5" s="29"/>
      <c r="H5" s="27"/>
      <c r="I5" s="59" t="s">
        <v>216</v>
      </c>
      <c r="J5" s="60">
        <v>10</v>
      </c>
      <c r="K5" s="65" t="s">
        <v>71</v>
      </c>
      <c r="N5" s="4"/>
      <c r="O5" s="18"/>
      <c r="P5" s="18"/>
      <c r="Q5" s="18"/>
      <c r="R5" s="18"/>
      <c r="S5" s="4"/>
      <c r="T5" s="61"/>
      <c r="U5" s="62"/>
    </row>
    <row r="6" spans="1:21" ht="32.4" x14ac:dyDescent="0.85">
      <c r="A6" s="96"/>
      <c r="B6" s="96"/>
      <c r="C6" s="96"/>
      <c r="D6" s="100"/>
      <c r="E6" s="96"/>
      <c r="F6" s="96"/>
      <c r="G6" s="96"/>
      <c r="H6" s="27"/>
      <c r="I6" s="133" t="s">
        <v>202</v>
      </c>
      <c r="J6" s="134" t="s">
        <v>217</v>
      </c>
      <c r="K6" s="65"/>
      <c r="N6" s="4"/>
      <c r="O6" s="18"/>
      <c r="P6" s="18"/>
      <c r="Q6" s="18"/>
      <c r="R6" s="18"/>
      <c r="S6" s="4"/>
      <c r="T6" s="61"/>
      <c r="U6" s="62"/>
    </row>
    <row r="7" spans="1:21" ht="32.4" x14ac:dyDescent="0.85">
      <c r="A7" s="171" t="s">
        <v>34</v>
      </c>
      <c r="B7" s="171"/>
      <c r="C7" s="171"/>
      <c r="D7" s="45">
        <f>+D5</f>
        <v>28</v>
      </c>
      <c r="E7" s="29" t="s">
        <v>20</v>
      </c>
      <c r="F7" s="29"/>
      <c r="G7" s="29"/>
      <c r="H7" s="30"/>
      <c r="I7" s="63">
        <v>0.4</v>
      </c>
      <c r="J7" s="64">
        <v>0.8</v>
      </c>
      <c r="K7" s="65" t="s">
        <v>71</v>
      </c>
      <c r="N7" s="4"/>
      <c r="O7" s="18"/>
      <c r="P7" s="18"/>
      <c r="Q7" s="18"/>
      <c r="R7" s="18"/>
      <c r="S7" s="4"/>
      <c r="T7" s="61"/>
    </row>
    <row r="8" spans="1:21" ht="33" thickBot="1" x14ac:dyDescent="0.9">
      <c r="A8" s="171" t="s">
        <v>70</v>
      </c>
      <c r="B8" s="171"/>
      <c r="C8" s="171"/>
      <c r="D8" s="67">
        <v>2.5000000000000001E-2</v>
      </c>
      <c r="E8" s="29" t="s">
        <v>71</v>
      </c>
      <c r="F8" s="29"/>
      <c r="G8" s="29"/>
      <c r="H8" s="30"/>
      <c r="I8" s="66" t="s">
        <v>69</v>
      </c>
      <c r="J8" s="97">
        <v>0.05</v>
      </c>
      <c r="K8" s="33" t="s">
        <v>247</v>
      </c>
      <c r="N8" s="4"/>
      <c r="O8" s="18"/>
      <c r="P8" s="18"/>
      <c r="Q8" s="18"/>
      <c r="R8" s="18"/>
      <c r="S8" s="4"/>
      <c r="T8" s="61"/>
    </row>
    <row r="9" spans="1:21" ht="21" thickBot="1" x14ac:dyDescent="0.6">
      <c r="A9" s="84" t="s">
        <v>195</v>
      </c>
      <c r="B9" s="169" t="s">
        <v>0</v>
      </c>
      <c r="C9" s="170"/>
      <c r="D9" s="47" t="s">
        <v>1</v>
      </c>
      <c r="E9" s="47" t="s">
        <v>72</v>
      </c>
      <c r="F9" s="69" t="s">
        <v>75</v>
      </c>
      <c r="G9" s="46" t="s">
        <v>79</v>
      </c>
      <c r="H9" s="47" t="s">
        <v>26</v>
      </c>
      <c r="I9" s="46" t="s">
        <v>53</v>
      </c>
      <c r="J9" s="46" t="s">
        <v>2</v>
      </c>
      <c r="K9" s="46" t="s">
        <v>9</v>
      </c>
      <c r="N9" s="4"/>
      <c r="O9" s="18"/>
      <c r="P9" s="18"/>
      <c r="Q9" s="18"/>
    </row>
    <row r="10" spans="1:21" x14ac:dyDescent="0.5">
      <c r="A10" s="101" t="str">
        <f>IFERROR(VLOOKUP($C10,Data!$A19:$I22,9,),0)</f>
        <v>520040020000004</v>
      </c>
      <c r="B10" s="144" t="s">
        <v>100</v>
      </c>
      <c r="C10" s="102" t="s">
        <v>89</v>
      </c>
      <c r="D10" s="157" t="s">
        <v>242</v>
      </c>
      <c r="E10" s="103">
        <f>IFERROR(VLOOKUP($C10,Data!$A19:$H22,7,),0)</f>
        <v>19.11</v>
      </c>
      <c r="F10" s="104">
        <f t="shared" ref="F10:F21" si="0">$E10/$D$5</f>
        <v>0.6825</v>
      </c>
      <c r="G10" s="104">
        <f>IFERROR(VLOOKUP($C10,Data!$A19:$H22,5,),0)*E10</f>
        <v>20.829900000000002</v>
      </c>
      <c r="H10" s="105">
        <f>IFERROR(VLOOKUP($C10,Data!$A19:$H22,6,),0)</f>
        <v>98</v>
      </c>
      <c r="I10" s="106"/>
      <c r="J10" s="107">
        <f t="shared" ref="J10:J21" si="1">+(H10-(H10*I10))*E10</f>
        <v>1872.78</v>
      </c>
      <c r="K10" s="108"/>
      <c r="N10" s="4"/>
      <c r="O10" s="18"/>
      <c r="P10" s="18"/>
      <c r="Q10" s="18"/>
    </row>
    <row r="11" spans="1:21" x14ac:dyDescent="0.5">
      <c r="A11" s="109" t="str">
        <f>IFERROR(VLOOKUP($C11,Data!$A48:$I50,9,),0)</f>
        <v>520020010000002</v>
      </c>
      <c r="B11" s="110" t="s">
        <v>224</v>
      </c>
      <c r="C11" s="111" t="s">
        <v>198</v>
      </c>
      <c r="D11" s="157" t="s">
        <v>243</v>
      </c>
      <c r="E11" s="113">
        <f>IFERROR(VLOOKUP($C11,Data!$A48:$H50,7,),0)</f>
        <v>11.55</v>
      </c>
      <c r="F11" s="114">
        <f t="shared" si="0"/>
        <v>0.41250000000000003</v>
      </c>
      <c r="G11" s="114">
        <f>IFERROR(VLOOKUP($C11,Data!$A48:$H50,5,),0)*E11</f>
        <v>6.5834999999999999</v>
      </c>
      <c r="H11" s="115">
        <f>IFERROR(VLOOKUP($C11,Data!$A48:$H50,6,),0)</f>
        <v>55</v>
      </c>
      <c r="I11" s="116"/>
      <c r="J11" s="117">
        <f t="shared" si="1"/>
        <v>635.25</v>
      </c>
      <c r="K11" s="118"/>
      <c r="N11" s="4"/>
      <c r="O11" s="18"/>
      <c r="P11" s="18"/>
      <c r="Q11" s="18"/>
    </row>
    <row r="12" spans="1:21" x14ac:dyDescent="0.5">
      <c r="A12" s="109" t="str">
        <f>IFERROR(VLOOKUP($C12,Data!$A73:$I74,9,),0)</f>
        <v>520080080000004</v>
      </c>
      <c r="B12" s="119" t="s">
        <v>90</v>
      </c>
      <c r="C12" s="111" t="s">
        <v>127</v>
      </c>
      <c r="D12" s="112" t="s">
        <v>239</v>
      </c>
      <c r="E12" s="113">
        <f>IFERROR(VLOOKUP($C12,Data!$A73:$H74,7,),0)</f>
        <v>0.12574380000000002</v>
      </c>
      <c r="F12" s="114">
        <f t="shared" si="0"/>
        <v>4.4908500000000002E-3</v>
      </c>
      <c r="G12" s="114">
        <f>IFERROR(VLOOKUP($C12,Data!$A73:$H74,5,),0)*E12</f>
        <v>0.12574380000000002</v>
      </c>
      <c r="H12" s="115">
        <f>IFERROR(VLOOKUP($C12,Data!$A73:$H74,6,),0)</f>
        <v>320</v>
      </c>
      <c r="I12" s="116"/>
      <c r="J12" s="117">
        <f t="shared" si="1"/>
        <v>40.238016000000002</v>
      </c>
      <c r="K12" s="118"/>
    </row>
    <row r="13" spans="1:21" x14ac:dyDescent="0.5">
      <c r="A13" s="109" t="str">
        <f>IFERROR(VLOOKUP($C13,Data!$A29:$I31,9,),0)</f>
        <v>520088240000001</v>
      </c>
      <c r="B13" s="110" t="s">
        <v>96</v>
      </c>
      <c r="C13" s="111" t="s">
        <v>97</v>
      </c>
      <c r="D13" s="112" t="s">
        <v>3</v>
      </c>
      <c r="E13" s="113">
        <f>IFERROR(VLOOKUP($C13,Data!$A29:$H31,7,),0)</f>
        <v>0</v>
      </c>
      <c r="F13" s="114">
        <f>$E13/$D$5</f>
        <v>0</v>
      </c>
      <c r="G13" s="114">
        <f>IFERROR(VLOOKUP($C13,Data!$A29:$H31,5,),0)*E13</f>
        <v>0</v>
      </c>
      <c r="H13" s="115">
        <f>IFERROR(VLOOKUP($C13,Data!$A29:$H31,6,),0)</f>
        <v>5.5</v>
      </c>
      <c r="I13" s="116"/>
      <c r="J13" s="117">
        <f>+(H13-(H13*I13))*E13</f>
        <v>0</v>
      </c>
      <c r="K13" s="118"/>
    </row>
    <row r="14" spans="1:21" x14ac:dyDescent="0.5">
      <c r="A14" s="109" t="str">
        <f>IFERROR(VLOOKUP($C14,Data!$A33:$I37,9,),0)</f>
        <v>520080130000001</v>
      </c>
      <c r="B14" s="119" t="s">
        <v>225</v>
      </c>
      <c r="C14" s="111" t="s">
        <v>196</v>
      </c>
      <c r="D14" s="112" t="s">
        <v>3</v>
      </c>
      <c r="E14" s="113">
        <f>IFERROR(VLOOKUP($C14,Data!$A33:$H327,7,),0)</f>
        <v>46.2</v>
      </c>
      <c r="F14" s="114">
        <f t="shared" si="0"/>
        <v>1.6500000000000001</v>
      </c>
      <c r="G14" s="114">
        <f>IFERROR(VLOOKUP($C14,Data!$A33:$H327,5,),0)*E14</f>
        <v>1.3860000000000001</v>
      </c>
      <c r="H14" s="115">
        <f>IFERROR(VLOOKUP($C14,Data!$A33:$H327,6,),0)</f>
        <v>8.5</v>
      </c>
      <c r="I14" s="116"/>
      <c r="J14" s="117">
        <f t="shared" si="1"/>
        <v>392.70000000000005</v>
      </c>
      <c r="K14" s="118"/>
    </row>
    <row r="15" spans="1:21" ht="40.799999999999997" customHeight="1" x14ac:dyDescent="0.55000000000000004">
      <c r="A15" s="87" t="str">
        <f>IFERROR(VLOOKUP($C15,Data!$A58:$I64,9,),0)</f>
        <v>520080080000001</v>
      </c>
      <c r="B15" s="88" t="s">
        <v>226</v>
      </c>
      <c r="C15" s="95" t="s">
        <v>98</v>
      </c>
      <c r="D15" s="89" t="s">
        <v>239</v>
      </c>
      <c r="E15" s="90">
        <f>IFERROR(VLOOKUP($C15,Data!$A58:$H64,7,),0)</f>
        <v>0.53083333333333338</v>
      </c>
      <c r="F15" s="91">
        <f t="shared" si="0"/>
        <v>1.8958333333333334E-2</v>
      </c>
      <c r="G15" s="91">
        <f>IFERROR(VLOOKUP($C15,Data!$A58:$H64,5,),0)*E15</f>
        <v>0.53083333333333338</v>
      </c>
      <c r="H15" s="160">
        <f>IFERROR(VLOOKUP($C15,Data!$A58:$H64,6,),0)</f>
        <v>95</v>
      </c>
      <c r="I15" s="93"/>
      <c r="J15" s="94">
        <f t="shared" si="1"/>
        <v>50.429166666666674</v>
      </c>
      <c r="K15" s="167" t="s">
        <v>219</v>
      </c>
      <c r="M15" s="135" t="s">
        <v>210</v>
      </c>
      <c r="N15" s="126"/>
      <c r="O15" s="127"/>
      <c r="P15" s="127"/>
      <c r="Q15" s="127"/>
      <c r="R15" s="128"/>
    </row>
    <row r="16" spans="1:21" ht="40.799999999999997" customHeight="1" x14ac:dyDescent="0.5">
      <c r="A16" s="87">
        <f>IFERROR(VLOOKUP($C16,Data!$A66:$I70,9,),0)</f>
        <v>0</v>
      </c>
      <c r="B16" s="88" t="s">
        <v>227</v>
      </c>
      <c r="C16" s="95"/>
      <c r="D16" s="89" t="s">
        <v>239</v>
      </c>
      <c r="E16" s="90">
        <f>IFERROR(VLOOKUP($C16,Data!$A66:$H70,7,),0)</f>
        <v>0</v>
      </c>
      <c r="F16" s="91">
        <f t="shared" si="0"/>
        <v>0</v>
      </c>
      <c r="G16" s="91">
        <f>IFERROR(VLOOKUP($C16,Data!$A66:$H70,5,),0)*E16</f>
        <v>0</v>
      </c>
      <c r="H16" s="92">
        <f>IFERROR(VLOOKUP($C16,Data!$A66:$H70,6,),0)</f>
        <v>0</v>
      </c>
      <c r="I16" s="93"/>
      <c r="J16" s="94">
        <f>+(H16-(H16*I16))*E16</f>
        <v>0</v>
      </c>
      <c r="K16" s="167"/>
      <c r="M16" s="121" t="s">
        <v>207</v>
      </c>
      <c r="N16" s="121" t="s">
        <v>208</v>
      </c>
      <c r="O16" s="130" t="s">
        <v>211</v>
      </c>
      <c r="P16" s="130" t="s">
        <v>212</v>
      </c>
      <c r="Q16" s="122" t="s">
        <v>203</v>
      </c>
      <c r="R16" s="122" t="s">
        <v>204</v>
      </c>
    </row>
    <row r="17" spans="1:18" x14ac:dyDescent="0.5">
      <c r="A17" s="109" t="str">
        <f>IFERROR(VLOOKUP($C17,Data!$A55:$I56,9,),0)</f>
        <v>520080070000001</v>
      </c>
      <c r="B17" s="119" t="s">
        <v>228</v>
      </c>
      <c r="C17" s="111" t="s">
        <v>101</v>
      </c>
      <c r="D17" s="112" t="s">
        <v>73</v>
      </c>
      <c r="E17" s="113">
        <f>IFERROR(VLOOKUP($C17,Data!$A55:$H56,7,),0)</f>
        <v>137.55000000000001</v>
      </c>
      <c r="F17" s="114">
        <f t="shared" si="0"/>
        <v>4.9125000000000005</v>
      </c>
      <c r="G17" s="114">
        <f>IFERROR(VLOOKUP($C17,Data!$A55:$H56,5,),0)*E17</f>
        <v>1.3755000000000002</v>
      </c>
      <c r="H17" s="115">
        <f>IFERROR(VLOOKUP($C17,Data!$A55:$H56,6,),0)</f>
        <v>2</v>
      </c>
      <c r="I17" s="116"/>
      <c r="J17" s="117">
        <f t="shared" si="1"/>
        <v>275.10000000000002</v>
      </c>
      <c r="K17" s="132"/>
      <c r="M17" s="123" t="s">
        <v>205</v>
      </c>
      <c r="N17" s="123" t="s">
        <v>118</v>
      </c>
      <c r="O17" s="122">
        <v>16</v>
      </c>
      <c r="P17" s="122">
        <f>O17+10</f>
        <v>26</v>
      </c>
      <c r="Q17" s="122">
        <v>25</v>
      </c>
      <c r="R17" s="129">
        <v>38</v>
      </c>
    </row>
    <row r="18" spans="1:18" ht="20.399999999999999" x14ac:dyDescent="0.55000000000000004">
      <c r="A18" s="85" t="str">
        <f>IFERROR(VLOOKUP($C18,Data!$A52:$I53,9,),0)</f>
        <v>100010020920001</v>
      </c>
      <c r="B18" s="145" t="s">
        <v>229</v>
      </c>
      <c r="C18" s="41" t="s">
        <v>248</v>
      </c>
      <c r="D18" s="78" t="s">
        <v>156</v>
      </c>
      <c r="E18" s="10">
        <f>IFERROR(VLOOKUP($C18,Data!$A52:$H53,7,),0)</f>
        <v>10.5</v>
      </c>
      <c r="F18" s="68">
        <f t="shared" si="0"/>
        <v>0.375</v>
      </c>
      <c r="G18" s="68">
        <f>IFERROR(VLOOKUP($C18,Data!$A52:$H53,5,),0)*E18</f>
        <v>175.392</v>
      </c>
      <c r="H18" s="7">
        <f>IFERROR(VLOOKUP($C18,Data!$A52:$H53,6,),0)</f>
        <v>294</v>
      </c>
      <c r="I18" s="51"/>
      <c r="J18" s="9">
        <f t="shared" si="1"/>
        <v>3087</v>
      </c>
      <c r="K18" s="35"/>
      <c r="M18" s="125" t="s">
        <v>206</v>
      </c>
      <c r="N18" s="125" t="s">
        <v>209</v>
      </c>
      <c r="O18" s="122">
        <v>16</v>
      </c>
      <c r="P18" s="122">
        <f>P17+O18</f>
        <v>42</v>
      </c>
      <c r="Q18" s="124">
        <v>38</v>
      </c>
      <c r="R18" s="156" t="s">
        <v>237</v>
      </c>
    </row>
    <row r="19" spans="1:18" ht="20.399999999999999" x14ac:dyDescent="0.55000000000000004">
      <c r="A19" s="85">
        <f>IFERROR(VLOOKUP($C19,Data!$A53:$I54,9,),0)</f>
        <v>0</v>
      </c>
      <c r="B19" s="145" t="s">
        <v>230</v>
      </c>
      <c r="C19" s="41"/>
      <c r="D19" s="78" t="s">
        <v>156</v>
      </c>
      <c r="E19" s="10">
        <f>IFERROR(VLOOKUP($C19,Data!$A52:$H53,7,),0)</f>
        <v>0</v>
      </c>
      <c r="F19" s="68">
        <f t="shared" si="0"/>
        <v>0</v>
      </c>
      <c r="G19" s="68">
        <f>IFERROR(VLOOKUP($C19,Data!$A52:$H53,5,),0)*E19</f>
        <v>0</v>
      </c>
      <c r="H19" s="7">
        <f>IFERROR(VLOOKUP($C19,Data!$A52:$H53,6,),0)</f>
        <v>0</v>
      </c>
      <c r="I19" s="51"/>
      <c r="J19" s="9">
        <f t="shared" ref="J19" si="2">+(H19-(H19*I19))*E19</f>
        <v>0</v>
      </c>
      <c r="K19" s="35"/>
      <c r="M19" s="121"/>
      <c r="N19" s="121"/>
      <c r="O19" s="122"/>
      <c r="P19" s="122"/>
      <c r="Q19" s="122">
        <v>75</v>
      </c>
      <c r="R19" s="122"/>
    </row>
    <row r="20" spans="1:18" ht="20.399999999999999" x14ac:dyDescent="0.55000000000000004">
      <c r="A20" s="101" t="str">
        <f>IFERROR(VLOOKUP($C20,Data!$A77:$I79,9,),0)</f>
        <v>410010010800001</v>
      </c>
      <c r="B20" s="146" t="s">
        <v>104</v>
      </c>
      <c r="C20" s="147" t="s">
        <v>137</v>
      </c>
      <c r="D20" s="158" t="s">
        <v>240</v>
      </c>
      <c r="E20" s="103">
        <f>IFERROR(VLOOKUP($C20,Data!$A77:$H79,7,),0)</f>
        <v>0.441</v>
      </c>
      <c r="F20" s="104">
        <f t="shared" si="0"/>
        <v>1.575E-2</v>
      </c>
      <c r="G20" s="104">
        <f>IFERROR(VLOOKUP($C20,Data!$A77:$H79,5,),0)*E20</f>
        <v>8.82</v>
      </c>
      <c r="H20" s="105">
        <f>IFERROR(VLOOKUP($C20,Data!$A77:$H79,6,),0)</f>
        <v>190</v>
      </c>
      <c r="I20" s="106"/>
      <c r="J20" s="107">
        <f t="shared" si="1"/>
        <v>83.79</v>
      </c>
      <c r="K20" s="148" t="s">
        <v>232</v>
      </c>
    </row>
    <row r="21" spans="1:18" ht="40.799999999999997" x14ac:dyDescent="0.55000000000000004">
      <c r="A21" s="85" t="str">
        <f>IFERROR(VLOOKUP($C21,Data!$A81:$I85,9,),0)</f>
        <v>520080140000001</v>
      </c>
      <c r="B21" s="70" t="s">
        <v>105</v>
      </c>
      <c r="C21" s="99" t="s">
        <v>106</v>
      </c>
      <c r="D21" s="21" t="s">
        <v>241</v>
      </c>
      <c r="E21" s="10">
        <f>IFERROR(VLOOKUP($C21,Data!$A81:$H83,7,),0)</f>
        <v>2.1</v>
      </c>
      <c r="F21" s="68">
        <f t="shared" si="0"/>
        <v>7.4999999999999997E-2</v>
      </c>
      <c r="G21" s="68">
        <f>IFERROR(VLOOKUP($C21,Data!$A81:$H83,5,),0)*E21</f>
        <v>0.52500000000000002</v>
      </c>
      <c r="H21" s="7">
        <f>IFERROR(VLOOKUP($C21,Data!$A81:$H83,6,),0)</f>
        <v>37</v>
      </c>
      <c r="I21" s="51"/>
      <c r="J21" s="9">
        <f t="shared" si="1"/>
        <v>77.7</v>
      </c>
      <c r="K21" s="136" t="s">
        <v>218</v>
      </c>
      <c r="M21" s="135" t="s">
        <v>213</v>
      </c>
      <c r="N21" s="126"/>
      <c r="O21" s="127"/>
      <c r="P21" s="127"/>
      <c r="Q21" s="127"/>
      <c r="R21" s="128"/>
    </row>
    <row r="22" spans="1:18" ht="39.6" x14ac:dyDescent="0.5">
      <c r="A22" s="85">
        <f>IFERROR(VLOOKUP($C22,Data!$A87:$I89,9,),0)</f>
        <v>0</v>
      </c>
      <c r="B22" s="79" t="s">
        <v>132</v>
      </c>
      <c r="C22" s="98"/>
      <c r="D22" s="80" t="s">
        <v>157</v>
      </c>
      <c r="E22" s="10">
        <f>IFERROR(VLOOKUP($C22,Data!$A87:$H89,7,),0)</f>
        <v>0</v>
      </c>
      <c r="F22" s="68">
        <f>$E22/$D$5</f>
        <v>0</v>
      </c>
      <c r="G22" s="68">
        <f>IFERROR(VLOOKUP($C22,Data!$A87:$H89,5,),0)*E22</f>
        <v>0</v>
      </c>
      <c r="H22" s="7">
        <f>IFERROR(VLOOKUP($C22,Data!$A87:$H89,6,),0)</f>
        <v>0</v>
      </c>
      <c r="I22" s="51"/>
      <c r="J22" s="9">
        <f>+(H22-(H22*I22))*E22</f>
        <v>0</v>
      </c>
      <c r="K22" s="38"/>
      <c r="M22" s="121" t="s">
        <v>207</v>
      </c>
      <c r="N22" s="121" t="s">
        <v>208</v>
      </c>
      <c r="O22" s="130" t="s">
        <v>211</v>
      </c>
      <c r="P22" s="130" t="s">
        <v>212</v>
      </c>
      <c r="Q22" s="122" t="s">
        <v>203</v>
      </c>
      <c r="R22" s="122" t="s">
        <v>204</v>
      </c>
    </row>
    <row r="23" spans="1:18" ht="60" x14ac:dyDescent="0.55000000000000004">
      <c r="A23" s="149" t="s">
        <v>222</v>
      </c>
      <c r="B23" s="150" t="s">
        <v>134</v>
      </c>
      <c r="C23" s="151" t="s">
        <v>136</v>
      </c>
      <c r="D23" s="152" t="s">
        <v>221</v>
      </c>
      <c r="E23" s="103">
        <f>IFERROR(VLOOKUP($C23,Data!$A92:$H94,7,),0)</f>
        <v>1.26</v>
      </c>
      <c r="F23" s="104">
        <f>$E23/$D$5</f>
        <v>4.4999999999999998E-2</v>
      </c>
      <c r="G23" s="104">
        <f>IFERROR(VLOOKUP($C23,Data!$A92:$H94,5,),0)*E23</f>
        <v>1.2347999999999999</v>
      </c>
      <c r="H23" s="105" t="str">
        <f>IFERROR(VLOOKUP($C23,Data!$A92:$H94,6,),0)</f>
        <v>N/A</v>
      </c>
      <c r="I23" s="153"/>
      <c r="J23" s="105" t="str">
        <f>H23</f>
        <v>N/A</v>
      </c>
      <c r="K23" s="154" t="s">
        <v>231</v>
      </c>
      <c r="M23" s="123" t="s">
        <v>205</v>
      </c>
      <c r="N23" s="123" t="s">
        <v>118</v>
      </c>
      <c r="O23" s="122">
        <v>16</v>
      </c>
      <c r="P23" s="122">
        <f>O23+10</f>
        <v>26</v>
      </c>
      <c r="Q23" s="122">
        <v>25</v>
      </c>
      <c r="R23" s="129">
        <v>38</v>
      </c>
    </row>
    <row r="24" spans="1:18" ht="20.399999999999999" thickBot="1" x14ac:dyDescent="0.55000000000000004">
      <c r="A24" s="49"/>
      <c r="B24" s="71"/>
      <c r="C24" s="53"/>
      <c r="D24" s="13"/>
      <c r="E24" s="13"/>
      <c r="F24" s="13"/>
      <c r="G24" s="13"/>
      <c r="H24" s="13"/>
      <c r="I24" s="13" t="s">
        <v>45</v>
      </c>
      <c r="J24" s="13"/>
      <c r="K24" s="39"/>
    </row>
    <row r="25" spans="1:18" ht="21" thickBot="1" x14ac:dyDescent="0.6">
      <c r="A25" s="14" t="s">
        <v>8</v>
      </c>
      <c r="E25" s="15"/>
      <c r="F25" s="138" t="s">
        <v>77</v>
      </c>
      <c r="G25" s="139">
        <f>SUM(G10:G24)</f>
        <v>216.80327713333332</v>
      </c>
      <c r="H25" s="138" t="s">
        <v>80</v>
      </c>
      <c r="I25" s="140"/>
      <c r="J25" s="141">
        <f>SUM($J10:$J24)</f>
        <v>6514.9871826666658</v>
      </c>
      <c r="K25" s="40"/>
      <c r="L25" s="4"/>
      <c r="M25" s="135" t="s">
        <v>214</v>
      </c>
      <c r="N25" s="126"/>
      <c r="O25" s="127"/>
      <c r="P25" s="127"/>
      <c r="Q25" s="127"/>
      <c r="R25" s="128"/>
    </row>
    <row r="26" spans="1:18" ht="40.200000000000003" x14ac:dyDescent="0.55000000000000004">
      <c r="B26" s="14"/>
      <c r="E26" s="15"/>
      <c r="F26" s="138" t="s">
        <v>78</v>
      </c>
      <c r="G26" s="139">
        <f>$G$25/$D$5</f>
        <v>7.7429741833333328</v>
      </c>
      <c r="H26" s="138" t="s">
        <v>76</v>
      </c>
      <c r="I26" s="140"/>
      <c r="J26" s="142">
        <f>$J$25/$D$5</f>
        <v>232.67811366666663</v>
      </c>
      <c r="K26" s="6"/>
      <c r="L26" s="4"/>
      <c r="M26" s="121" t="s">
        <v>207</v>
      </c>
      <c r="N26" s="121" t="s">
        <v>208</v>
      </c>
      <c r="O26" s="130" t="s">
        <v>211</v>
      </c>
      <c r="P26" s="130" t="s">
        <v>212</v>
      </c>
      <c r="Q26" s="122" t="s">
        <v>203</v>
      </c>
      <c r="R26" s="122" t="s">
        <v>204</v>
      </c>
    </row>
    <row r="27" spans="1:18" x14ac:dyDescent="0.5">
      <c r="A27" s="24" t="s">
        <v>21</v>
      </c>
      <c r="M27" s="123" t="s">
        <v>205</v>
      </c>
      <c r="N27" s="123" t="s">
        <v>119</v>
      </c>
      <c r="O27" s="122">
        <v>44</v>
      </c>
      <c r="P27" s="122">
        <f>O27+10</f>
        <v>54</v>
      </c>
      <c r="Q27" s="122">
        <v>25</v>
      </c>
      <c r="R27" s="129">
        <v>38</v>
      </c>
    </row>
    <row r="28" spans="1:18" ht="21" x14ac:dyDescent="0.6">
      <c r="A28" s="23" t="s">
        <v>22</v>
      </c>
      <c r="I28" s="86"/>
      <c r="M28" s="131"/>
      <c r="N28" s="131"/>
      <c r="O28" s="129"/>
      <c r="P28" s="129"/>
      <c r="Q28" s="129">
        <v>38</v>
      </c>
      <c r="R28" s="129">
        <v>45</v>
      </c>
    </row>
    <row r="29" spans="1:18" ht="21" x14ac:dyDescent="0.6">
      <c r="A29" s="23" t="s">
        <v>74</v>
      </c>
      <c r="M29" s="121"/>
      <c r="N29" s="121"/>
      <c r="O29" s="122"/>
      <c r="P29" s="122"/>
      <c r="Q29" s="124">
        <v>75</v>
      </c>
      <c r="R29" s="122"/>
    </row>
    <row r="30" spans="1:18" ht="21" x14ac:dyDescent="0.6">
      <c r="A30" s="23" t="s">
        <v>24</v>
      </c>
    </row>
  </sheetData>
  <mergeCells count="8">
    <mergeCell ref="K15:K16"/>
    <mergeCell ref="B3:K3"/>
    <mergeCell ref="B1:K1"/>
    <mergeCell ref="B9:C9"/>
    <mergeCell ref="A8:C8"/>
    <mergeCell ref="A7:C7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7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Data!$A$19:$A$22</xm:f>
          </x14:formula1>
          <xm:sqref>C10</xm:sqref>
        </x14:dataValidation>
        <x14:dataValidation type="list" allowBlank="1" showInputMessage="1" showErrorMessage="1">
          <x14:formula1>
            <xm:f>Data!$A$48:$A$50</xm:f>
          </x14:formula1>
          <xm:sqref>C11</xm:sqref>
        </x14:dataValidation>
        <x14:dataValidation type="list" allowBlank="1" showInputMessage="1" showErrorMessage="1">
          <x14:formula1>
            <xm:f>Data!$A$73:$A$74</xm:f>
          </x14:formula1>
          <xm:sqref>C12</xm:sqref>
        </x14:dataValidation>
        <x14:dataValidation type="list" allowBlank="1" showInputMessage="1" showErrorMessage="1">
          <x14:formula1>
            <xm:f>Data!$A$29:$A$31</xm:f>
          </x14:formula1>
          <xm:sqref>C13</xm:sqref>
        </x14:dataValidation>
        <x14:dataValidation type="list" allowBlank="1" showInputMessage="1" showErrorMessage="1">
          <x14:formula1>
            <xm:f>Data!$A$33:$A$37</xm:f>
          </x14:formula1>
          <xm:sqref>C14</xm:sqref>
        </x14:dataValidation>
        <x14:dataValidation type="list" allowBlank="1" showInputMessage="1" showErrorMessage="1">
          <x14:formula1>
            <xm:f>Data!$A$58:$A$64</xm:f>
          </x14:formula1>
          <xm:sqref>C15</xm:sqref>
        </x14:dataValidation>
        <x14:dataValidation type="list" allowBlank="1" showInputMessage="1" showErrorMessage="1">
          <x14:formula1>
            <xm:f>Data!$A$66:$A$70</xm:f>
          </x14:formula1>
          <xm:sqref>C16</xm:sqref>
        </x14:dataValidation>
        <x14:dataValidation type="list" allowBlank="1" showInputMessage="1" showErrorMessage="1">
          <x14:formula1>
            <xm:f>Data!$A$55:$A$56</xm:f>
          </x14:formula1>
          <xm:sqref>C17</xm:sqref>
        </x14:dataValidation>
        <x14:dataValidation type="list" allowBlank="1" showInputMessage="1" showErrorMessage="1">
          <x14:formula1>
            <xm:f>Data!$A$81:$A$83</xm:f>
          </x14:formula1>
          <xm:sqref>C21</xm:sqref>
        </x14:dataValidation>
        <x14:dataValidation type="list" allowBlank="1" showInputMessage="1" showErrorMessage="1">
          <x14:formula1>
            <xm:f>Data!$A$87:$A$89</xm:f>
          </x14:formula1>
          <xm:sqref>C22</xm:sqref>
        </x14:dataValidation>
        <x14:dataValidation type="list" allowBlank="1" showInputMessage="1" showErrorMessage="1">
          <x14:formula1>
            <xm:f>Data!$A$92:$A$94</xm:f>
          </x14:formula1>
          <xm:sqref>C23</xm:sqref>
        </x14:dataValidation>
        <x14:dataValidation type="list" allowBlank="1" showInputMessage="1" showErrorMessage="1">
          <x14:formula1>
            <xm:f>Data!$A$77:$A$79</xm:f>
          </x14:formula1>
          <xm:sqref>C20</xm:sqref>
        </x14:dataValidation>
        <x14:dataValidation type="list" allowBlank="1" showInputMessage="1" showErrorMessage="1">
          <x14:formula1>
            <xm:f>Data!$A$52:$A$53</xm:f>
          </x14:formula1>
          <xm:sqref>C18:C19 N17:N18 N23 N27:N28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0"/>
  <sheetViews>
    <sheetView topLeftCell="A45" zoomScale="130" zoomScaleNormal="130" workbookViewId="0">
      <selection activeCell="G52" sqref="G52"/>
    </sheetView>
  </sheetViews>
  <sheetFormatPr defaultRowHeight="19.8" x14ac:dyDescent="0.5"/>
  <cols>
    <col min="1" max="1" width="41.5" bestFit="1" customWidth="1"/>
    <col min="6" max="6" width="9.375" style="73"/>
    <col min="7" max="7" width="13.125" style="74" bestFit="1" customWidth="1"/>
    <col min="8" max="8" width="13.125" style="74" customWidth="1"/>
    <col min="9" max="9" width="16.5" style="82" bestFit="1" customWidth="1"/>
    <col min="10" max="10" width="13.125" customWidth="1"/>
  </cols>
  <sheetData>
    <row r="1" spans="1:9" ht="20.399999999999999" x14ac:dyDescent="0.55000000000000004">
      <c r="A1" s="75" t="s">
        <v>82</v>
      </c>
      <c r="B1" t="s">
        <v>83</v>
      </c>
      <c r="C1" t="s">
        <v>84</v>
      </c>
      <c r="E1" t="s">
        <v>85</v>
      </c>
      <c r="F1" s="72" t="s">
        <v>81</v>
      </c>
      <c r="G1" s="74" t="s">
        <v>86</v>
      </c>
      <c r="H1" s="74" t="s">
        <v>87</v>
      </c>
    </row>
    <row r="2" spans="1:9" x14ac:dyDescent="0.5">
      <c r="A2" t="s">
        <v>107</v>
      </c>
      <c r="B2">
        <v>3000</v>
      </c>
      <c r="C2">
        <v>49</v>
      </c>
      <c r="E2">
        <v>1.44</v>
      </c>
      <c r="F2" s="73">
        <v>120</v>
      </c>
      <c r="I2" s="83" t="s">
        <v>158</v>
      </c>
    </row>
    <row r="3" spans="1:9" x14ac:dyDescent="0.5">
      <c r="A3" t="s">
        <v>108</v>
      </c>
      <c r="B3">
        <v>3000</v>
      </c>
      <c r="C3">
        <v>62</v>
      </c>
      <c r="E3">
        <v>1.6</v>
      </c>
      <c r="F3" s="73">
        <v>135</v>
      </c>
      <c r="I3" s="83" t="s">
        <v>160</v>
      </c>
    </row>
    <row r="4" spans="1:9" x14ac:dyDescent="0.5">
      <c r="A4" t="s">
        <v>109</v>
      </c>
      <c r="B4">
        <v>3000</v>
      </c>
      <c r="C4">
        <v>74</v>
      </c>
      <c r="E4">
        <v>1.73</v>
      </c>
      <c r="F4" s="73">
        <v>145</v>
      </c>
      <c r="I4" s="83" t="s">
        <v>161</v>
      </c>
    </row>
    <row r="5" spans="1:9" x14ac:dyDescent="0.5">
      <c r="A5" t="s">
        <v>110</v>
      </c>
      <c r="B5">
        <v>3000</v>
      </c>
      <c r="C5">
        <v>92</v>
      </c>
      <c r="E5">
        <v>1.95</v>
      </c>
      <c r="F5" s="73">
        <v>160</v>
      </c>
      <c r="I5" s="83" t="s">
        <v>162</v>
      </c>
    </row>
    <row r="7" spans="1:9" ht="20.399999999999999" x14ac:dyDescent="0.55000000000000004">
      <c r="A7" s="75" t="s">
        <v>111</v>
      </c>
      <c r="B7" t="s">
        <v>83</v>
      </c>
      <c r="C7" t="s">
        <v>84</v>
      </c>
      <c r="E7" t="s">
        <v>85</v>
      </c>
      <c r="G7" s="74" t="s">
        <v>86</v>
      </c>
    </row>
    <row r="8" spans="1:9" x14ac:dyDescent="0.5">
      <c r="A8" t="s">
        <v>112</v>
      </c>
      <c r="B8">
        <v>3000</v>
      </c>
      <c r="C8">
        <v>51</v>
      </c>
      <c r="E8">
        <v>1.32</v>
      </c>
      <c r="F8" s="73">
        <v>105</v>
      </c>
      <c r="I8" s="83" t="s">
        <v>159</v>
      </c>
    </row>
    <row r="9" spans="1:9" x14ac:dyDescent="0.5">
      <c r="A9" t="s">
        <v>113</v>
      </c>
      <c r="B9">
        <v>3000</v>
      </c>
      <c r="C9">
        <v>64</v>
      </c>
      <c r="E9">
        <v>1.47</v>
      </c>
      <c r="F9" s="73">
        <v>120</v>
      </c>
      <c r="I9" s="83" t="s">
        <v>163</v>
      </c>
    </row>
    <row r="10" spans="1:9" x14ac:dyDescent="0.5">
      <c r="A10" t="s">
        <v>114</v>
      </c>
      <c r="B10">
        <v>3000</v>
      </c>
      <c r="C10">
        <v>76</v>
      </c>
      <c r="E10">
        <v>1.6</v>
      </c>
      <c r="F10" s="73">
        <v>130</v>
      </c>
      <c r="I10" s="83" t="s">
        <v>164</v>
      </c>
    </row>
    <row r="11" spans="1:9" x14ac:dyDescent="0.5">
      <c r="A11" t="s">
        <v>115</v>
      </c>
      <c r="B11">
        <v>3000</v>
      </c>
      <c r="C11">
        <v>94</v>
      </c>
      <c r="E11">
        <v>1.82</v>
      </c>
      <c r="F11" s="73">
        <v>145</v>
      </c>
      <c r="I11" s="83" t="s">
        <v>165</v>
      </c>
    </row>
    <row r="13" spans="1:9" ht="20.399999999999999" x14ac:dyDescent="0.55000000000000004">
      <c r="A13" s="75" t="s">
        <v>100</v>
      </c>
      <c r="B13" t="s">
        <v>83</v>
      </c>
      <c r="C13" t="s">
        <v>84</v>
      </c>
      <c r="D13" s="76" t="s">
        <v>117</v>
      </c>
      <c r="E13" t="s">
        <v>85</v>
      </c>
      <c r="G13" s="74" t="s">
        <v>86</v>
      </c>
    </row>
    <row r="14" spans="1:9" x14ac:dyDescent="0.5">
      <c r="A14" s="76" t="s">
        <v>140</v>
      </c>
      <c r="B14">
        <v>4000</v>
      </c>
      <c r="C14" s="77" t="s">
        <v>142</v>
      </c>
      <c r="D14">
        <v>0.5</v>
      </c>
      <c r="E14">
        <v>1.4</v>
      </c>
      <c r="F14" s="73">
        <v>155</v>
      </c>
      <c r="G14" s="81">
        <f>(((ROUNDUP((((Gyplyner!$J$4-0.6)/Gyplyner!$J$7)),))+1)*Gyplyner!$J$5/($B14/1000))*(1+Gyplyner!$J$8)</f>
        <v>10.5</v>
      </c>
      <c r="I14" s="83" t="s">
        <v>166</v>
      </c>
    </row>
    <row r="15" spans="1:9" x14ac:dyDescent="0.5">
      <c r="A15" s="76" t="s">
        <v>89</v>
      </c>
      <c r="B15">
        <v>4000</v>
      </c>
      <c r="C15" s="77" t="s">
        <v>143</v>
      </c>
      <c r="D15">
        <v>0.5</v>
      </c>
      <c r="E15">
        <v>1.0900000000000001</v>
      </c>
      <c r="F15" s="73">
        <v>98</v>
      </c>
      <c r="G15" s="81">
        <f>(((ROUNDUP((((Gyplyner!$J$4-0.6)/Gyplyner!$J$7)),))+1)*Gyplyner!$J$5/($B15/1000))*(1+Gyplyner!$J$8)</f>
        <v>10.5</v>
      </c>
      <c r="I15" s="83" t="s">
        <v>167</v>
      </c>
    </row>
    <row r="16" spans="1:9" x14ac:dyDescent="0.5">
      <c r="A16" s="76" t="s">
        <v>141</v>
      </c>
      <c r="B16">
        <v>4000</v>
      </c>
      <c r="C16" s="77" t="s">
        <v>144</v>
      </c>
      <c r="D16">
        <v>0.4</v>
      </c>
      <c r="E16">
        <v>0.77</v>
      </c>
      <c r="F16" s="73">
        <v>67</v>
      </c>
      <c r="G16" s="81">
        <f>(((ROUNDUP((((Gyplyner!$J$4-0.6)/Gyplyner!$J$7)),))+1)*Gyplyner!$J$5/($B16/1000))*(1+Gyplyner!$J$8)</f>
        <v>10.5</v>
      </c>
      <c r="I16" s="83" t="s">
        <v>168</v>
      </c>
    </row>
    <row r="17" spans="1:9" x14ac:dyDescent="0.5">
      <c r="A17" s="76"/>
      <c r="C17" s="77"/>
      <c r="G17" s="81"/>
    </row>
    <row r="18" spans="1:9" ht="20.399999999999999" x14ac:dyDescent="0.55000000000000004">
      <c r="A18" s="75" t="s">
        <v>99</v>
      </c>
      <c r="B18" t="s">
        <v>83</v>
      </c>
      <c r="C18" t="s">
        <v>84</v>
      </c>
      <c r="D18" s="76" t="s">
        <v>117</v>
      </c>
      <c r="E18" t="s">
        <v>85</v>
      </c>
      <c r="G18" s="74" t="s">
        <v>86</v>
      </c>
    </row>
    <row r="19" spans="1:9" x14ac:dyDescent="0.5">
      <c r="A19" s="76" t="s">
        <v>140</v>
      </c>
      <c r="B19">
        <v>4000</v>
      </c>
      <c r="C19" s="77" t="s">
        <v>142</v>
      </c>
      <c r="D19">
        <v>0.5</v>
      </c>
      <c r="E19">
        <v>1.4</v>
      </c>
      <c r="F19" s="73">
        <v>155</v>
      </c>
      <c r="G19" s="81">
        <f>(((ROUNDUP((Gyplyner!$J$5/Gyplyner!$I$7),))+1)*Gyplyner!$J$4/($B19/1000))*(1+Gyplyner!$J$8)</f>
        <v>19.11</v>
      </c>
      <c r="I19" s="83" t="s">
        <v>166</v>
      </c>
    </row>
    <row r="20" spans="1:9" x14ac:dyDescent="0.5">
      <c r="A20" s="76" t="s">
        <v>89</v>
      </c>
      <c r="B20">
        <v>4000</v>
      </c>
      <c r="C20" s="77" t="s">
        <v>143</v>
      </c>
      <c r="D20">
        <v>0.5</v>
      </c>
      <c r="E20">
        <v>1.0900000000000001</v>
      </c>
      <c r="F20" s="73">
        <v>98</v>
      </c>
      <c r="G20" s="81">
        <f>(((ROUNDUP((Gyplyner!$J$5/Gyplyner!$I$7),))+1)*Gyplyner!$J$4/($B20/1000))*(1+Gyplyner!$J$8)</f>
        <v>19.11</v>
      </c>
      <c r="I20" s="83" t="s">
        <v>167</v>
      </c>
    </row>
    <row r="21" spans="1:9" x14ac:dyDescent="0.5">
      <c r="A21" s="76" t="s">
        <v>141</v>
      </c>
      <c r="B21">
        <v>4000</v>
      </c>
      <c r="C21" s="77" t="s">
        <v>144</v>
      </c>
      <c r="D21">
        <v>0.4</v>
      </c>
      <c r="E21">
        <v>0.77</v>
      </c>
      <c r="F21" s="73">
        <v>67</v>
      </c>
      <c r="G21" s="81">
        <f>(((ROUNDUP((Gyplyner!$J$5/Gyplyner!$I$7),))+1)*Gyplyner!$J$4/($B21/1000))*(1+Gyplyner!$J$8)</f>
        <v>19.11</v>
      </c>
      <c r="I21" s="83" t="s">
        <v>168</v>
      </c>
    </row>
    <row r="23" spans="1:9" ht="20.399999999999999" x14ac:dyDescent="0.55000000000000004">
      <c r="A23" s="75" t="s">
        <v>103</v>
      </c>
      <c r="B23" t="s">
        <v>83</v>
      </c>
      <c r="C23" t="s">
        <v>84</v>
      </c>
      <c r="D23" s="76" t="s">
        <v>117</v>
      </c>
      <c r="E23" t="s">
        <v>85</v>
      </c>
      <c r="G23" s="74" t="s">
        <v>86</v>
      </c>
    </row>
    <row r="24" spans="1:9" x14ac:dyDescent="0.5">
      <c r="A24" s="76" t="s">
        <v>147</v>
      </c>
      <c r="B24">
        <v>115</v>
      </c>
      <c r="C24">
        <v>45</v>
      </c>
      <c r="D24">
        <v>0.5</v>
      </c>
      <c r="E24">
        <v>0.18</v>
      </c>
      <c r="F24" s="73">
        <v>5.5</v>
      </c>
      <c r="G24" s="81">
        <f>ROUNDUP(Gyplyner!$D$5/(Gyplyner!$J$7*Gyplyner!$I$7),)*(1+Gyplyner!$J$8)</f>
        <v>92.4</v>
      </c>
      <c r="I24" s="83" t="s">
        <v>169</v>
      </c>
    </row>
    <row r="25" spans="1:9" x14ac:dyDescent="0.5">
      <c r="A25" s="76" t="s">
        <v>102</v>
      </c>
      <c r="B25">
        <v>90</v>
      </c>
      <c r="C25">
        <v>35</v>
      </c>
      <c r="D25">
        <v>0.5</v>
      </c>
      <c r="E25">
        <v>0.02</v>
      </c>
      <c r="F25" s="73">
        <v>3.75</v>
      </c>
      <c r="G25" s="81">
        <f>ROUNDUP(Gyplyner!$D$5/(Gyplyner!$J$7*Gyplyner!$I$7),)*(1+Gyplyner!$J$8)</f>
        <v>92.4</v>
      </c>
      <c r="I25" s="83" t="s">
        <v>170</v>
      </c>
    </row>
    <row r="26" spans="1:9" x14ac:dyDescent="0.5">
      <c r="A26" s="76" t="s">
        <v>148</v>
      </c>
      <c r="B26">
        <v>80</v>
      </c>
      <c r="C26">
        <v>35</v>
      </c>
      <c r="D26">
        <v>0.4</v>
      </c>
      <c r="E26">
        <v>0.01</v>
      </c>
      <c r="F26" s="73">
        <v>1.75</v>
      </c>
      <c r="G26" s="81">
        <f>ROUNDUP(Gyplyner!$D$5/(Gyplyner!$J$7*Gyplyner!$I$7),)*(1+Gyplyner!$J$8)</f>
        <v>92.4</v>
      </c>
      <c r="I26" s="83" t="s">
        <v>171</v>
      </c>
    </row>
    <row r="28" spans="1:9" ht="20.399999999999999" x14ac:dyDescent="0.55000000000000004">
      <c r="A28" s="75" t="s">
        <v>96</v>
      </c>
      <c r="B28" t="s">
        <v>83</v>
      </c>
      <c r="C28" t="s">
        <v>84</v>
      </c>
      <c r="D28" s="76" t="s">
        <v>117</v>
      </c>
      <c r="E28" t="s">
        <v>85</v>
      </c>
      <c r="G28" s="74" t="s">
        <v>86</v>
      </c>
    </row>
    <row r="29" spans="1:9" x14ac:dyDescent="0.5">
      <c r="A29" s="76" t="s">
        <v>149</v>
      </c>
      <c r="B29">
        <v>90</v>
      </c>
      <c r="C29" s="77" t="s">
        <v>150</v>
      </c>
      <c r="D29">
        <v>0.5</v>
      </c>
      <c r="E29">
        <v>0.03</v>
      </c>
      <c r="F29" s="73">
        <v>8</v>
      </c>
      <c r="G29" s="74" t="e">
        <f>(ROUNDUP((ROUNDUP(Gyplyner!$J$4/4,)*Gyplyner!$E$10),))+(ROUNDUP((ROUNDUP(Gyplyner!$J$5/4,)*Gyplyner!#REF!),))*(1+Gyplyner!$J$8)</f>
        <v>#REF!</v>
      </c>
      <c r="I29" s="83" t="s">
        <v>172</v>
      </c>
    </row>
    <row r="30" spans="1:9" x14ac:dyDescent="0.5">
      <c r="A30" s="76" t="s">
        <v>97</v>
      </c>
      <c r="B30">
        <v>90</v>
      </c>
      <c r="C30" s="77" t="s">
        <v>151</v>
      </c>
      <c r="D30">
        <v>0.5</v>
      </c>
      <c r="E30">
        <v>0.03</v>
      </c>
      <c r="F30" s="73">
        <v>5.5</v>
      </c>
      <c r="G30" s="74" t="e">
        <f>(ROUNDUP((ROUNDUP(Gyplyner!$J$4/4,)*Gyplyner!$E$10),))+(ROUNDUP((ROUNDUP(Gyplyner!$J$5/4,)*Gyplyner!#REF!),))*(1+Gyplyner!$J$8)</f>
        <v>#REF!</v>
      </c>
      <c r="I30" s="83" t="s">
        <v>173</v>
      </c>
    </row>
    <row r="32" spans="1:9" ht="20.399999999999999" x14ac:dyDescent="0.55000000000000004">
      <c r="A32" s="75" t="s">
        <v>152</v>
      </c>
      <c r="B32" t="s">
        <v>83</v>
      </c>
      <c r="C32" t="s">
        <v>84</v>
      </c>
      <c r="D32" s="76" t="s">
        <v>117</v>
      </c>
      <c r="E32" t="s">
        <v>85</v>
      </c>
      <c r="G32" s="74" t="s">
        <v>86</v>
      </c>
    </row>
    <row r="33" spans="1:9" x14ac:dyDescent="0.5">
      <c r="A33" s="76" t="s">
        <v>153</v>
      </c>
      <c r="B33">
        <v>205</v>
      </c>
      <c r="C33">
        <v>26</v>
      </c>
      <c r="D33">
        <v>4</v>
      </c>
      <c r="E33">
        <v>0.08</v>
      </c>
      <c r="F33" s="73">
        <v>4</v>
      </c>
      <c r="G33" s="81">
        <f>(ROUNDUP(Gyplyner!$D$5/(Gyplyner!$J$7*Gyplyner!$J$7),))*(1+Gyplyner!$J$8)</f>
        <v>46.2</v>
      </c>
      <c r="I33" s="83" t="s">
        <v>174</v>
      </c>
    </row>
    <row r="34" spans="1:9" x14ac:dyDescent="0.5">
      <c r="A34" s="76" t="s">
        <v>91</v>
      </c>
      <c r="B34">
        <v>200</v>
      </c>
      <c r="C34">
        <v>22</v>
      </c>
      <c r="D34">
        <v>4</v>
      </c>
      <c r="E34">
        <v>0.05</v>
      </c>
      <c r="F34" s="73">
        <v>4</v>
      </c>
      <c r="G34" s="81">
        <f>(ROUNDUP(Gyplyner!$D$5/(Gyplyner!$J$7*Gyplyner!$J$7),))*(1+Gyplyner!$J$8)</f>
        <v>46.2</v>
      </c>
      <c r="I34" s="83" t="s">
        <v>175</v>
      </c>
    </row>
    <row r="35" spans="1:9" x14ac:dyDescent="0.5">
      <c r="A35" s="76" t="s">
        <v>154</v>
      </c>
      <c r="B35">
        <v>200</v>
      </c>
      <c r="D35">
        <v>4</v>
      </c>
      <c r="E35">
        <v>0.05</v>
      </c>
      <c r="F35" s="73">
        <v>4</v>
      </c>
      <c r="G35" s="81">
        <f>(ROUNDUP(Gyplyner!$D$5/(Gyplyner!$J$7*Gyplyner!$J$7),))*(1+Gyplyner!$J$8)</f>
        <v>46.2</v>
      </c>
      <c r="I35" s="83" t="s">
        <v>176</v>
      </c>
    </row>
    <row r="36" spans="1:9" x14ac:dyDescent="0.5">
      <c r="A36" s="76" t="s">
        <v>196</v>
      </c>
      <c r="B36">
        <v>190</v>
      </c>
      <c r="C36">
        <v>29.5</v>
      </c>
      <c r="D36">
        <v>0.7</v>
      </c>
      <c r="E36">
        <v>0.03</v>
      </c>
      <c r="F36" s="73">
        <v>8.5</v>
      </c>
      <c r="G36" s="81">
        <f>(ROUNDUP(Gyplyner!$D$5/(Gyplyner!$J$7*Gyplyner!$J$7),))*(1+Gyplyner!$J$8)</f>
        <v>46.2</v>
      </c>
      <c r="I36" s="83" t="s">
        <v>197</v>
      </c>
    </row>
    <row r="38" spans="1:9" ht="20.399999999999999" x14ac:dyDescent="0.55000000000000004">
      <c r="A38" s="75" t="s">
        <v>92</v>
      </c>
      <c r="B38" t="s">
        <v>83</v>
      </c>
      <c r="C38" t="s">
        <v>84</v>
      </c>
      <c r="D38" s="76" t="s">
        <v>117</v>
      </c>
      <c r="E38" t="s">
        <v>85</v>
      </c>
      <c r="G38" s="74" t="s">
        <v>86</v>
      </c>
    </row>
    <row r="39" spans="1:9" x14ac:dyDescent="0.5">
      <c r="A39" s="76" t="s">
        <v>92</v>
      </c>
      <c r="B39">
        <v>25</v>
      </c>
      <c r="C39">
        <v>25</v>
      </c>
      <c r="E39">
        <v>1.7999999999999999E-2</v>
      </c>
      <c r="F39" s="73">
        <v>2.25</v>
      </c>
      <c r="G39" s="81">
        <f>(ROUNDUP(Gyplyner!$D$5/(Gyplyner!$J$7*Gyplyner!$J$7),))*(1+Gyplyner!$J$8)</f>
        <v>46.2</v>
      </c>
      <c r="I39" s="83" t="s">
        <v>177</v>
      </c>
    </row>
    <row r="41" spans="1:9" ht="20.399999999999999" x14ac:dyDescent="0.55000000000000004">
      <c r="A41" s="75" t="s">
        <v>93</v>
      </c>
      <c r="B41" t="s">
        <v>83</v>
      </c>
      <c r="C41" t="s">
        <v>84</v>
      </c>
      <c r="D41" s="76" t="s">
        <v>117</v>
      </c>
      <c r="E41" t="s">
        <v>85</v>
      </c>
      <c r="G41" s="74" t="s">
        <v>86</v>
      </c>
    </row>
    <row r="42" spans="1:9" x14ac:dyDescent="0.5">
      <c r="A42" s="76" t="s">
        <v>94</v>
      </c>
      <c r="B42">
        <v>90</v>
      </c>
      <c r="C42">
        <v>19</v>
      </c>
      <c r="E42">
        <v>8.9999999999999993E-3</v>
      </c>
      <c r="F42" s="73">
        <v>6</v>
      </c>
      <c r="G42" s="81">
        <f>(ROUNDUP(Gyplyner!$D$5/(Gyplyner!$J$7*Gyplyner!$J$7),))*(1+Gyplyner!$J$8)</f>
        <v>46.2</v>
      </c>
      <c r="I42" s="83" t="s">
        <v>178</v>
      </c>
    </row>
    <row r="44" spans="1:9" ht="20.399999999999999" x14ac:dyDescent="0.55000000000000004">
      <c r="A44" s="75" t="s">
        <v>95</v>
      </c>
      <c r="B44" t="s">
        <v>83</v>
      </c>
      <c r="C44" t="s">
        <v>84</v>
      </c>
      <c r="D44" s="76" t="s">
        <v>117</v>
      </c>
      <c r="E44" t="s">
        <v>85</v>
      </c>
      <c r="G44" s="74" t="s">
        <v>86</v>
      </c>
    </row>
    <row r="45" spans="1:9" x14ac:dyDescent="0.5">
      <c r="A45" s="76" t="s">
        <v>155</v>
      </c>
      <c r="B45">
        <v>3000</v>
      </c>
      <c r="D45">
        <v>4</v>
      </c>
      <c r="E45">
        <v>0.3</v>
      </c>
      <c r="F45" s="73">
        <v>20</v>
      </c>
      <c r="G45" s="74">
        <f>((ROUNDUP(Gyplyner!$D$5/(Gyplyner!$J$7*Gyplyner!$J$7),))*Gyplyner!$D$8/($B45/1000))*(1+Gyplyner!$J$8)</f>
        <v>0.38500000000000006</v>
      </c>
      <c r="I45" s="83" t="s">
        <v>179</v>
      </c>
    </row>
    <row r="47" spans="1:9" ht="20.399999999999999" x14ac:dyDescent="0.55000000000000004">
      <c r="A47" s="75" t="s">
        <v>88</v>
      </c>
      <c r="B47" t="s">
        <v>83</v>
      </c>
      <c r="C47" t="s">
        <v>84</v>
      </c>
      <c r="E47" t="s">
        <v>85</v>
      </c>
    </row>
    <row r="48" spans="1:9" x14ac:dyDescent="0.5">
      <c r="A48" s="76" t="s">
        <v>198</v>
      </c>
      <c r="B48">
        <v>2400</v>
      </c>
      <c r="C48" s="77" t="s">
        <v>199</v>
      </c>
      <c r="D48">
        <v>0.5</v>
      </c>
      <c r="E48">
        <v>0.56999999999999995</v>
      </c>
      <c r="F48" s="73">
        <v>55</v>
      </c>
      <c r="G48" s="74">
        <f>(ROUNDUP(((Gyplyner!$J$4+Gyplyner!$J$5)*2)/($B48/1000),))*(1+Gyplyner!$J$8)</f>
        <v>11.55</v>
      </c>
      <c r="I48" s="83" t="s">
        <v>200</v>
      </c>
    </row>
    <row r="49" spans="1:9" x14ac:dyDescent="0.5">
      <c r="A49" s="76" t="s">
        <v>145</v>
      </c>
      <c r="B49">
        <v>2400</v>
      </c>
      <c r="C49" s="77" t="s">
        <v>146</v>
      </c>
      <c r="D49">
        <v>0.5</v>
      </c>
      <c r="E49">
        <v>0.43</v>
      </c>
      <c r="F49" s="73">
        <v>36</v>
      </c>
      <c r="G49" s="74">
        <f>(ROUNDUP(((Gyplyner!$J$4+Gyplyner!$J$5)*2)/($B49/1000),))*(1+Gyplyner!$J$8)</f>
        <v>11.55</v>
      </c>
      <c r="I49" s="83" t="s">
        <v>180</v>
      </c>
    </row>
    <row r="51" spans="1:9" ht="20.399999999999999" x14ac:dyDescent="0.55000000000000004">
      <c r="A51" s="75" t="s">
        <v>116</v>
      </c>
      <c r="B51" t="s">
        <v>83</v>
      </c>
      <c r="C51" t="s">
        <v>84</v>
      </c>
      <c r="D51" t="s">
        <v>117</v>
      </c>
      <c r="E51" t="s">
        <v>85</v>
      </c>
      <c r="G51" s="74" t="s">
        <v>86</v>
      </c>
    </row>
    <row r="52" spans="1:9" x14ac:dyDescent="0.5">
      <c r="A52" s="76" t="s">
        <v>248</v>
      </c>
      <c r="B52">
        <v>2400</v>
      </c>
      <c r="C52">
        <v>1200</v>
      </c>
      <c r="D52">
        <v>9.1999999999999993</v>
      </c>
      <c r="E52">
        <v>16.704000000000001</v>
      </c>
      <c r="F52" s="73">
        <v>294</v>
      </c>
      <c r="G52" s="74">
        <f>ROUNDUP((Gyplyner!$D$5/($B52/1000*$C52/1000)),)*(1+Gyplyner!$J$8)</f>
        <v>10.5</v>
      </c>
      <c r="I52" s="83" t="s">
        <v>249</v>
      </c>
    </row>
    <row r="54" spans="1:9" ht="20.399999999999999" x14ac:dyDescent="0.55000000000000004">
      <c r="A54" s="75" t="s">
        <v>120</v>
      </c>
      <c r="B54" t="s">
        <v>83</v>
      </c>
      <c r="E54" t="s">
        <v>85</v>
      </c>
      <c r="G54" s="74" t="s">
        <v>86</v>
      </c>
    </row>
    <row r="55" spans="1:9" x14ac:dyDescent="0.5">
      <c r="A55" t="s">
        <v>101</v>
      </c>
      <c r="B55">
        <v>33</v>
      </c>
      <c r="E55">
        <v>0.01</v>
      </c>
      <c r="F55" s="73">
        <v>2</v>
      </c>
      <c r="G55" s="81">
        <f>(ROUNDUP(Gyplyner!$D$5/(Gyplyner!$J$7*Gyplyner!$J$7)+(1+(((Gyplyner!$J$5+Gyplyner!$J$4)*2)/0.3)),))*(1+Gyplyner!$J$8)</f>
        <v>137.55000000000001</v>
      </c>
      <c r="I55" s="82" t="s">
        <v>181</v>
      </c>
    </row>
    <row r="57" spans="1:9" ht="20.399999999999999" x14ac:dyDescent="0.55000000000000004">
      <c r="A57" s="159" t="s">
        <v>245</v>
      </c>
      <c r="B57" t="s">
        <v>83</v>
      </c>
      <c r="E57" t="s">
        <v>85</v>
      </c>
      <c r="G57" s="74" t="s">
        <v>86</v>
      </c>
    </row>
    <row r="58" spans="1:9" x14ac:dyDescent="0.5">
      <c r="A58" t="s">
        <v>98</v>
      </c>
      <c r="B58">
        <v>25</v>
      </c>
      <c r="E58">
        <v>1</v>
      </c>
      <c r="F58" s="73">
        <v>95</v>
      </c>
      <c r="G58" s="81">
        <f>(Gyplyner!$D$7/2.88)*40*(1.3/1000)*(1+Gyplyner!$J$8)</f>
        <v>0.53083333333333338</v>
      </c>
      <c r="I58" s="82" t="s">
        <v>182</v>
      </c>
    </row>
    <row r="59" spans="1:9" x14ac:dyDescent="0.5">
      <c r="A59" t="s">
        <v>121</v>
      </c>
      <c r="B59">
        <v>38</v>
      </c>
      <c r="E59">
        <v>1</v>
      </c>
      <c r="F59" s="73">
        <v>115</v>
      </c>
      <c r="G59" s="81">
        <f>(Gyplyner!$D$7/2.88)*40*(1.5/1000)*(1+Gyplyner!$J$8)</f>
        <v>0.61250000000000004</v>
      </c>
      <c r="I59" s="82" t="s">
        <v>183</v>
      </c>
    </row>
    <row r="60" spans="1:9" x14ac:dyDescent="0.5">
      <c r="A60" t="s">
        <v>122</v>
      </c>
      <c r="B60">
        <v>25</v>
      </c>
      <c r="F60" s="73">
        <v>550</v>
      </c>
      <c r="G60" s="81">
        <f>0.03*Gyplyner!$D$7*(1+Gyplyner!$J$8)</f>
        <v>0.88200000000000001</v>
      </c>
      <c r="I60" s="82" t="s">
        <v>184</v>
      </c>
    </row>
    <row r="61" spans="1:9" x14ac:dyDescent="0.5">
      <c r="A61" t="s">
        <v>123</v>
      </c>
      <c r="B61">
        <v>38</v>
      </c>
      <c r="F61" s="73">
        <v>600</v>
      </c>
      <c r="G61" s="81">
        <f>0.03*Gyplyner!$D$7*(1+Gyplyner!$J$8)</f>
        <v>0.88200000000000001</v>
      </c>
      <c r="I61" s="82" t="s">
        <v>185</v>
      </c>
    </row>
    <row r="62" spans="1:9" x14ac:dyDescent="0.5">
      <c r="A62" t="s">
        <v>125</v>
      </c>
      <c r="B62">
        <v>45</v>
      </c>
      <c r="F62" s="73">
        <v>680</v>
      </c>
      <c r="G62" s="81">
        <f>0.03*Gyplyner!$D$7*(1+Gyplyner!$J$8)</f>
        <v>0.88200000000000001</v>
      </c>
      <c r="I62" s="82" t="s">
        <v>186</v>
      </c>
    </row>
    <row r="63" spans="1:9" x14ac:dyDescent="0.5">
      <c r="A63" t="s">
        <v>124</v>
      </c>
      <c r="B63">
        <v>75</v>
      </c>
      <c r="E63">
        <v>1</v>
      </c>
      <c r="F63" s="73">
        <v>115</v>
      </c>
      <c r="G63" s="81">
        <f>(Gyplyner!$D$7/2.88)*40*(2.8/1000)*(1+Gyplyner!$J$8)</f>
        <v>1.1433333333333335</v>
      </c>
      <c r="I63" s="82" t="s">
        <v>187</v>
      </c>
    </row>
    <row r="65" spans="1:9" ht="20.399999999999999" x14ac:dyDescent="0.55000000000000004">
      <c r="A65" s="159" t="s">
        <v>244</v>
      </c>
      <c r="B65" t="s">
        <v>83</v>
      </c>
      <c r="E65" t="s">
        <v>85</v>
      </c>
      <c r="G65" s="74" t="s">
        <v>86</v>
      </c>
    </row>
    <row r="66" spans="1:9" x14ac:dyDescent="0.5">
      <c r="A66" t="s">
        <v>121</v>
      </c>
      <c r="B66">
        <v>38</v>
      </c>
      <c r="E66">
        <v>1</v>
      </c>
      <c r="F66" s="73">
        <v>115</v>
      </c>
      <c r="G66" s="81">
        <f>(Gyplyner!$D$7/2.88)*40*(1.5/1000)*(1+Gyplyner!$J$8)</f>
        <v>0.61250000000000004</v>
      </c>
      <c r="I66" s="82" t="s">
        <v>183</v>
      </c>
    </row>
    <row r="67" spans="1:9" x14ac:dyDescent="0.5">
      <c r="A67" t="s">
        <v>124</v>
      </c>
      <c r="B67">
        <v>75</v>
      </c>
      <c r="E67">
        <v>1</v>
      </c>
      <c r="F67" s="73">
        <v>115</v>
      </c>
      <c r="G67" s="81">
        <f>(Gyplyner!$D$7/2.88)*40*(2.8/1000)*(1+Gyplyner!$J$8)</f>
        <v>1.1433333333333335</v>
      </c>
      <c r="I67" s="82" t="s">
        <v>187</v>
      </c>
    </row>
    <row r="68" spans="1:9" x14ac:dyDescent="0.5">
      <c r="A68" t="s">
        <v>123</v>
      </c>
      <c r="B68">
        <v>38</v>
      </c>
      <c r="F68" s="73">
        <v>600</v>
      </c>
      <c r="G68" s="81">
        <f>0.03*Gyplyner!$D$7*(1+Gyplyner!$J$8)</f>
        <v>0.88200000000000001</v>
      </c>
      <c r="I68" s="82" t="s">
        <v>185</v>
      </c>
    </row>
    <row r="69" spans="1:9" x14ac:dyDescent="0.5">
      <c r="A69" t="s">
        <v>125</v>
      </c>
      <c r="B69">
        <v>45</v>
      </c>
      <c r="F69" s="73">
        <v>680</v>
      </c>
      <c r="G69" s="81">
        <f>0.03*Gyplyner!$D$7*(1+Gyplyner!$J$8)</f>
        <v>0.88200000000000001</v>
      </c>
      <c r="I69" s="82" t="s">
        <v>186</v>
      </c>
    </row>
    <row r="72" spans="1:9" ht="20.399999999999999" x14ac:dyDescent="0.55000000000000004">
      <c r="A72" s="75" t="s">
        <v>126</v>
      </c>
      <c r="B72" t="s">
        <v>83</v>
      </c>
      <c r="E72" t="s">
        <v>85</v>
      </c>
      <c r="G72" s="74" t="s">
        <v>86</v>
      </c>
    </row>
    <row r="73" spans="1:9" x14ac:dyDescent="0.5">
      <c r="A73" t="s">
        <v>127</v>
      </c>
      <c r="B73">
        <v>13</v>
      </c>
      <c r="E73">
        <v>1</v>
      </c>
      <c r="F73" s="73">
        <v>320</v>
      </c>
      <c r="G73" s="81">
        <f>((((Gyplyner!$J$5/Gyplyner!$I$7)*(Gyplyner!$J$4/4)*2)+(Gyplyner!$E$14*2))*0.94/1000*(1+Gyplyner!$J$8))</f>
        <v>0.12574380000000002</v>
      </c>
      <c r="I73" s="82" t="s">
        <v>188</v>
      </c>
    </row>
    <row r="76" spans="1:9" ht="20.399999999999999" x14ac:dyDescent="0.55000000000000004">
      <c r="A76" s="75" t="s">
        <v>128</v>
      </c>
      <c r="B76" t="s">
        <v>87</v>
      </c>
      <c r="E76" t="s">
        <v>85</v>
      </c>
      <c r="G76" s="74" t="s">
        <v>86</v>
      </c>
    </row>
    <row r="77" spans="1:9" x14ac:dyDescent="0.5">
      <c r="A77" t="s">
        <v>129</v>
      </c>
      <c r="B77">
        <v>25</v>
      </c>
      <c r="E77">
        <v>25</v>
      </c>
      <c r="F77" s="73">
        <v>212</v>
      </c>
      <c r="G77" s="81">
        <f>0.015*Gyplyner!$D$7*(1+Gyplyner!$J$8)</f>
        <v>0.441</v>
      </c>
      <c r="I77" s="82" t="s">
        <v>189</v>
      </c>
    </row>
    <row r="78" spans="1:9" x14ac:dyDescent="0.5">
      <c r="A78" t="s">
        <v>137</v>
      </c>
      <c r="B78">
        <v>20</v>
      </c>
      <c r="E78">
        <v>20</v>
      </c>
      <c r="F78" s="73">
        <v>190</v>
      </c>
      <c r="G78" s="81">
        <f>0.015*Gyplyner!$D$7*(1+Gyplyner!$J$8)</f>
        <v>0.441</v>
      </c>
      <c r="I78" s="82" t="s">
        <v>190</v>
      </c>
    </row>
    <row r="80" spans="1:9" ht="20.399999999999999" x14ac:dyDescent="0.55000000000000004">
      <c r="A80" s="75" t="s">
        <v>105</v>
      </c>
      <c r="B80" t="s">
        <v>130</v>
      </c>
      <c r="E80" t="s">
        <v>85</v>
      </c>
    </row>
    <row r="81" spans="1:9" x14ac:dyDescent="0.5">
      <c r="A81" t="s">
        <v>106</v>
      </c>
      <c r="B81">
        <v>25</v>
      </c>
      <c r="E81">
        <v>0.25</v>
      </c>
      <c r="F81" s="73">
        <v>37</v>
      </c>
      <c r="G81" s="74">
        <f>ROUNDUP(((1.2+2.4)*2*Gyplyner!$E$18/2)/$B81,)*(1+Gyplyner!$J$8)</f>
        <v>2.1</v>
      </c>
      <c r="I81" s="82" t="s">
        <v>191</v>
      </c>
    </row>
    <row r="82" spans="1:9" x14ac:dyDescent="0.5">
      <c r="A82" t="s">
        <v>201</v>
      </c>
      <c r="B82">
        <v>20</v>
      </c>
      <c r="E82">
        <v>0.6</v>
      </c>
      <c r="F82" s="73">
        <v>31.5</v>
      </c>
      <c r="G82" s="74">
        <f>ROUNDUP(((1.2+2.4)*2*Gyplyner!$E$18/2)/$B82,)*(1+Gyplyner!$J$8)</f>
        <v>2.1</v>
      </c>
      <c r="I82" s="82" t="s">
        <v>192</v>
      </c>
    </row>
    <row r="84" spans="1:9" x14ac:dyDescent="0.5">
      <c r="A84" t="s">
        <v>131</v>
      </c>
      <c r="B84">
        <v>10</v>
      </c>
      <c r="E84">
        <v>1</v>
      </c>
      <c r="F84" s="73">
        <v>929</v>
      </c>
      <c r="G84" s="81">
        <f>ROUNDUP(((1.2+2.4)*2*Gyplyner!$E$18/2)/$B84,)*(1+Gyplyner!$J$8)</f>
        <v>4.2</v>
      </c>
    </row>
    <row r="86" spans="1:9" ht="20.399999999999999" x14ac:dyDescent="0.55000000000000004">
      <c r="A86" s="75" t="s">
        <v>132</v>
      </c>
      <c r="B86" t="s">
        <v>133</v>
      </c>
      <c r="E86" t="s">
        <v>85</v>
      </c>
      <c r="G86" s="74" t="s">
        <v>86</v>
      </c>
    </row>
    <row r="87" spans="1:9" x14ac:dyDescent="0.5">
      <c r="A87" s="76" t="s">
        <v>138</v>
      </c>
      <c r="B87">
        <v>600</v>
      </c>
      <c r="C87">
        <v>15000</v>
      </c>
      <c r="D87">
        <v>50</v>
      </c>
      <c r="E87">
        <f>24*1.2*30*0.05</f>
        <v>43.199999999999996</v>
      </c>
      <c r="F87" s="73">
        <v>3100</v>
      </c>
      <c r="G87" s="81">
        <f>Gyplyner!$D$7/($B87/1000*$C87/1000)*(1+Gyplyner!$J$8)</f>
        <v>3.2666666666666671</v>
      </c>
      <c r="I87" s="82" t="s">
        <v>193</v>
      </c>
    </row>
    <row r="88" spans="1:9" x14ac:dyDescent="0.5">
      <c r="A88" t="s">
        <v>139</v>
      </c>
      <c r="B88">
        <v>600</v>
      </c>
      <c r="C88">
        <v>10000</v>
      </c>
      <c r="D88">
        <v>50</v>
      </c>
      <c r="E88">
        <f>40*1.2*10*0.05</f>
        <v>24</v>
      </c>
      <c r="F88" s="73">
        <v>3800</v>
      </c>
      <c r="G88" s="81">
        <f>Gyplyner!$D$7/($B88/1000*$C88/1000)*(1+Gyplyner!$J$8)</f>
        <v>4.9000000000000004</v>
      </c>
      <c r="I88" s="82" t="s">
        <v>194</v>
      </c>
    </row>
    <row r="91" spans="1:9" ht="20.399999999999999" x14ac:dyDescent="0.55000000000000004">
      <c r="A91" s="75" t="s">
        <v>134</v>
      </c>
      <c r="B91" t="s">
        <v>135</v>
      </c>
      <c r="E91" t="s">
        <v>85</v>
      </c>
      <c r="G91" s="74" t="s">
        <v>86</v>
      </c>
    </row>
    <row r="92" spans="1:9" x14ac:dyDescent="0.5">
      <c r="A92" t="s">
        <v>136</v>
      </c>
      <c r="B92">
        <v>600</v>
      </c>
      <c r="E92">
        <v>0.98</v>
      </c>
      <c r="F92" s="137" t="s">
        <v>220</v>
      </c>
      <c r="G92" s="81">
        <f>((Gyplyner!$J$5*2*6*6)/B92)*(1+Gyplyner!$J$8)</f>
        <v>1.26</v>
      </c>
    </row>
    <row r="93" spans="1:9" x14ac:dyDescent="0.5">
      <c r="A93" s="76" t="s">
        <v>223</v>
      </c>
      <c r="B93">
        <v>580</v>
      </c>
      <c r="E93">
        <v>0.92</v>
      </c>
      <c r="F93" s="137" t="s">
        <v>220</v>
      </c>
      <c r="G93" s="81">
        <f>((Gyplyner!$J$5*2*6*6)/B93)*(1+Gyplyner!$J$8)</f>
        <v>1.3034482758620691</v>
      </c>
    </row>
    <row r="94" spans="1:9" x14ac:dyDescent="0.5">
      <c r="A94" s="76"/>
      <c r="F94" s="137"/>
      <c r="G94" s="81"/>
    </row>
    <row r="95" spans="1:9" x14ac:dyDescent="0.5">
      <c r="A95" t="s">
        <v>233</v>
      </c>
      <c r="E95">
        <v>23</v>
      </c>
      <c r="F95" s="155">
        <v>1250</v>
      </c>
      <c r="G95" s="81">
        <f>ROUNDUP((Gyplyner!$J$5*1.8)/(E95/4),2)*(1+Gyplyner!$J$8)</f>
        <v>3.2969999999999997</v>
      </c>
    </row>
    <row r="96" spans="1:9" x14ac:dyDescent="0.5">
      <c r="A96" t="s">
        <v>234</v>
      </c>
      <c r="E96">
        <v>23</v>
      </c>
      <c r="F96" s="155">
        <v>1250</v>
      </c>
      <c r="G96" s="81">
        <f>ROUNDUP((Gyplyner!$J$5*0.3)/(E96/4),2)*(1+Gyplyner!$J$8)</f>
        <v>0.55650000000000011</v>
      </c>
    </row>
    <row r="97" spans="1:7" x14ac:dyDescent="0.5">
      <c r="A97" t="s">
        <v>235</v>
      </c>
      <c r="E97">
        <v>25</v>
      </c>
      <c r="F97" s="155">
        <v>650</v>
      </c>
      <c r="G97" s="81">
        <f>ROUNDUP((Gyplyner!$J$5*1.8)/(E97/4),2)*(1+Gyplyner!$J$8)</f>
        <v>3.024</v>
      </c>
    </row>
    <row r="98" spans="1:7" x14ac:dyDescent="0.5">
      <c r="A98" t="s">
        <v>236</v>
      </c>
      <c r="E98">
        <v>25</v>
      </c>
      <c r="F98" s="155">
        <v>650</v>
      </c>
      <c r="G98" s="81">
        <f>ROUNDUP((Gyplyner!$J$5*0.3)/(E98/4),2)*(1+Gyplyner!$J$8)</f>
        <v>0.504</v>
      </c>
    </row>
    <row r="100" spans="1:7" x14ac:dyDescent="0.5">
      <c r="A100" s="76" t="s">
        <v>238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61" t="s">
        <v>60</v>
      </c>
      <c r="B3" s="161"/>
      <c r="C3" s="161"/>
      <c r="D3" s="161"/>
      <c r="E3" s="161"/>
      <c r="F3" s="161"/>
      <c r="G3" s="161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162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163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166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66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166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Gyplyner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2020-01-13T10:17:07Z</cp:lastPrinted>
  <dcterms:created xsi:type="dcterms:W3CDTF">2000-02-15T08:37:35Z</dcterms:created>
  <dcterms:modified xsi:type="dcterms:W3CDTF">2020-04-13T02:37:56Z</dcterms:modified>
</cp:coreProperties>
</file>