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4570727\Desktop\Gyproc Ying\2020 - work\Take off for Update on website\"/>
    </mc:Choice>
  </mc:AlternateContent>
  <bookViews>
    <workbookView xWindow="0" yWindow="0" windowWidth="20496" windowHeight="7020" tabRatio="735" firstSheet="1" activeTab="1"/>
  </bookViews>
  <sheets>
    <sheet name="Sheet1" sheetId="22" state="hidden" r:id="rId1"/>
    <sheet name="BOQ Single Frame" sheetId="19" r:id="rId2"/>
    <sheet name="BOQ Twin Frame" sheetId="20" state="hidden" r:id="rId3"/>
    <sheet name="BOQ ShaftWall" sheetId="21" state="hidden" r:id="rId4"/>
    <sheet name="Data" sheetId="3" r:id="rId5"/>
  </sheets>
  <externalReferences>
    <externalReference r:id="rId6"/>
  </externalReferences>
  <definedNames>
    <definedName name="Bottom_Track">Data!$A$38:$A$38</definedName>
    <definedName name="C_Stud">Data!$A$4:$A$11</definedName>
    <definedName name="CStud">Data!$A$4:$A$11</definedName>
    <definedName name="Deflection" localSheetId="3">Data!#REF!</definedName>
    <definedName name="Deflection" localSheetId="2">Data!#REF!</definedName>
    <definedName name="Deflection">Data!#REF!</definedName>
    <definedName name="Frame">Data!$B$2:$I$2</definedName>
    <definedName name="Frames">Data!$G$2:$I$2</definedName>
    <definedName name="_xlnm.Print_Area" localSheetId="3">'BOQ ShaftWall'!$B$1:$K$41</definedName>
    <definedName name="Top_Track">Data!$A$20:$A$27</definedName>
  </definedNames>
  <calcPr calcId="162913"/>
</workbook>
</file>

<file path=xl/calcChain.xml><?xml version="1.0" encoding="utf-8"?>
<calcChain xmlns="http://schemas.openxmlformats.org/spreadsheetml/2006/main">
  <c r="H19" i="19" l="1"/>
  <c r="K95" i="3"/>
  <c r="L95" i="3" s="1"/>
  <c r="I95" i="3"/>
  <c r="J95" i="3" s="1"/>
  <c r="G95" i="3"/>
  <c r="H95" i="3" s="1"/>
  <c r="H26" i="19"/>
  <c r="H23" i="19"/>
  <c r="H24" i="19"/>
  <c r="H22" i="19"/>
  <c r="H25" i="19"/>
  <c r="P33" i="19" l="1"/>
  <c r="P27" i="19"/>
  <c r="P28" i="19" s="1"/>
  <c r="P21" i="19"/>
  <c r="P22" i="19" s="1"/>
  <c r="G128" i="3" l="1"/>
  <c r="G126" i="3"/>
  <c r="G24" i="3"/>
  <c r="H24" i="3" s="1"/>
  <c r="I24" i="3"/>
  <c r="J24" i="3" s="1"/>
  <c r="G25" i="3"/>
  <c r="H25" i="3" s="1"/>
  <c r="I25" i="3"/>
  <c r="J25" i="3" s="1"/>
  <c r="G26" i="3"/>
  <c r="H26" i="3" s="1"/>
  <c r="I26" i="3"/>
  <c r="J26" i="3" s="1"/>
  <c r="G27" i="3"/>
  <c r="H27" i="3" s="1"/>
  <c r="I27" i="3"/>
  <c r="J27" i="3" s="1"/>
  <c r="K9" i="3"/>
  <c r="K10" i="3"/>
  <c r="K124" i="3"/>
  <c r="K123" i="3"/>
  <c r="F12" i="3"/>
  <c r="K12" i="3"/>
  <c r="L12" i="3" s="1"/>
  <c r="F13" i="3"/>
  <c r="K13" i="3"/>
  <c r="L13" i="3" s="1"/>
  <c r="F14" i="3"/>
  <c r="K14" i="3"/>
  <c r="L14" i="3" s="1"/>
  <c r="F15" i="3"/>
  <c r="K15" i="3"/>
  <c r="L15" i="3" s="1"/>
  <c r="F16" i="3"/>
  <c r="K16" i="3"/>
  <c r="L16" i="3" s="1"/>
  <c r="F17" i="3"/>
  <c r="K17" i="3"/>
  <c r="L17" i="3" s="1"/>
  <c r="I124" i="3"/>
  <c r="I123" i="3"/>
  <c r="G124" i="3"/>
  <c r="H124" i="3" s="1"/>
  <c r="G123" i="3"/>
  <c r="E24" i="19" s="1"/>
  <c r="A26" i="19"/>
  <c r="A25" i="19"/>
  <c r="K45" i="3" l="1"/>
  <c r="G45" i="3"/>
  <c r="E45" i="3"/>
  <c r="H45" i="3" l="1"/>
  <c r="L45" i="3"/>
  <c r="D10" i="21"/>
  <c r="A18" i="21"/>
  <c r="H18" i="21"/>
  <c r="H17" i="21"/>
  <c r="H16" i="21"/>
  <c r="H15" i="21"/>
  <c r="H14" i="21"/>
  <c r="G14" i="21"/>
  <c r="G15" i="21"/>
  <c r="G16" i="21"/>
  <c r="G17" i="21"/>
  <c r="G18" i="21"/>
  <c r="E15" i="21"/>
  <c r="E14" i="21"/>
  <c r="K29" i="3"/>
  <c r="E16" i="21" s="1"/>
  <c r="E18" i="21"/>
  <c r="F18" i="21" s="1"/>
  <c r="E17" i="21" l="1"/>
  <c r="J18" i="21"/>
  <c r="G135" i="3" l="1"/>
  <c r="H135" i="3" s="1"/>
  <c r="G136" i="3"/>
  <c r="H136" i="3" s="1"/>
  <c r="G137" i="3"/>
  <c r="H137" i="3" s="1"/>
  <c r="G138" i="3"/>
  <c r="H138" i="3" s="1"/>
  <c r="E44" i="3"/>
  <c r="K44" i="3"/>
  <c r="G44" i="3"/>
  <c r="H44" i="3" l="1"/>
  <c r="L44" i="3"/>
  <c r="G94" i="3"/>
  <c r="G93" i="3"/>
  <c r="G92" i="3"/>
  <c r="G91" i="3"/>
  <c r="E19" i="19" s="1"/>
  <c r="G100" i="3"/>
  <c r="G99" i="3"/>
  <c r="G98" i="3"/>
  <c r="G101" i="3"/>
  <c r="K101" i="3" l="1"/>
  <c r="K100" i="3"/>
  <c r="K99" i="3"/>
  <c r="K98" i="3"/>
  <c r="K94" i="3"/>
  <c r="K93" i="3"/>
  <c r="K92" i="3"/>
  <c r="K91" i="3"/>
  <c r="K129" i="3" l="1"/>
  <c r="I129" i="3"/>
  <c r="G129" i="3"/>
  <c r="K127" i="3"/>
  <c r="I127" i="3"/>
  <c r="G127" i="3"/>
  <c r="E26" i="19" s="1"/>
  <c r="A34" i="21" l="1"/>
  <c r="A33" i="21"/>
  <c r="A32" i="21"/>
  <c r="A31" i="21"/>
  <c r="A30" i="21"/>
  <c r="A29" i="21"/>
  <c r="A28" i="21"/>
  <c r="A27" i="21"/>
  <c r="A26" i="21"/>
  <c r="A25" i="21"/>
  <c r="A24" i="21"/>
  <c r="A23" i="21"/>
  <c r="A22" i="21"/>
  <c r="A21" i="21"/>
  <c r="A20" i="21"/>
  <c r="A19" i="21"/>
  <c r="A17" i="21"/>
  <c r="A16" i="21"/>
  <c r="A15" i="21"/>
  <c r="A14" i="21"/>
  <c r="A36" i="20"/>
  <c r="A35" i="20"/>
  <c r="A34" i="20"/>
  <c r="A33" i="20"/>
  <c r="A32" i="20"/>
  <c r="A31" i="20"/>
  <c r="A30" i="20"/>
  <c r="A29" i="20"/>
  <c r="A28" i="20"/>
  <c r="A27" i="20"/>
  <c r="A26" i="20"/>
  <c r="A25" i="20"/>
  <c r="A24" i="20"/>
  <c r="A23" i="20"/>
  <c r="A22" i="20"/>
  <c r="A21" i="20"/>
  <c r="A20" i="20"/>
  <c r="A19" i="20"/>
  <c r="A18" i="20"/>
  <c r="A17" i="20"/>
  <c r="A16" i="20"/>
  <c r="A15" i="20"/>
  <c r="A24" i="19"/>
  <c r="A23" i="19"/>
  <c r="A22" i="19"/>
  <c r="A21" i="19"/>
  <c r="A20" i="19"/>
  <c r="A19" i="19"/>
  <c r="A18" i="19"/>
  <c r="A17" i="19"/>
  <c r="A15" i="19"/>
  <c r="A14" i="19"/>
  <c r="A13" i="19"/>
  <c r="A12" i="19"/>
  <c r="A16" i="19"/>
  <c r="K120" i="3" l="1"/>
  <c r="K119" i="3"/>
  <c r="H34" i="21" l="1"/>
  <c r="E34" i="21"/>
  <c r="G34" i="21"/>
  <c r="K131" i="3" l="1"/>
  <c r="E33" i="21" l="1"/>
  <c r="K114" i="3" l="1"/>
  <c r="L114" i="3" s="1"/>
  <c r="H35" i="20" l="1"/>
  <c r="G120" i="3" l="1"/>
  <c r="E23" i="19" s="1"/>
  <c r="G119" i="3"/>
  <c r="L129" i="3"/>
  <c r="H128" i="3"/>
  <c r="L127" i="3"/>
  <c r="H129" i="3"/>
  <c r="J129" i="3"/>
  <c r="G114" i="3"/>
  <c r="H114" i="3" l="1"/>
  <c r="G22" i="19" s="1"/>
  <c r="E22" i="19"/>
  <c r="I45" i="3"/>
  <c r="J45" i="3" s="1"/>
  <c r="I44" i="3"/>
  <c r="J44" i="3" s="1"/>
  <c r="I136" i="3"/>
  <c r="J136" i="3" s="1"/>
  <c r="I138" i="3"/>
  <c r="J138" i="3" s="1"/>
  <c r="I135" i="3"/>
  <c r="J135" i="3" s="1"/>
  <c r="I137" i="3"/>
  <c r="J137" i="3" s="1"/>
  <c r="I91" i="3"/>
  <c r="I98" i="3"/>
  <c r="I94" i="3"/>
  <c r="I101" i="3"/>
  <c r="I93" i="3"/>
  <c r="I100" i="3"/>
  <c r="I92" i="3"/>
  <c r="I99" i="3"/>
  <c r="I119" i="3"/>
  <c r="I120" i="3"/>
  <c r="K128" i="3"/>
  <c r="L128" i="3" s="1"/>
  <c r="I126" i="3"/>
  <c r="K126" i="3"/>
  <c r="L126" i="3" s="1"/>
  <c r="I128" i="3"/>
  <c r="J128" i="3" s="1"/>
  <c r="I114" i="3"/>
  <c r="J114" i="3" s="1"/>
  <c r="E120" i="3"/>
  <c r="E119" i="3"/>
  <c r="I7" i="3" l="1"/>
  <c r="I6" i="3"/>
  <c r="I5" i="3"/>
  <c r="I4" i="3"/>
  <c r="J119" i="3" l="1"/>
  <c r="H119" i="3"/>
  <c r="L120" i="3"/>
  <c r="J120" i="3"/>
  <c r="H120" i="3"/>
  <c r="G23" i="19" s="1"/>
  <c r="G110" i="3"/>
  <c r="H110" i="3" s="1"/>
  <c r="I110" i="3"/>
  <c r="J110" i="3" s="1"/>
  <c r="K110" i="3"/>
  <c r="L110" i="3" s="1"/>
  <c r="K116" i="3"/>
  <c r="K113" i="3"/>
  <c r="E30" i="21" s="1"/>
  <c r="K109" i="3"/>
  <c r="K105" i="3"/>
  <c r="E28" i="21" s="1"/>
  <c r="E27" i="21"/>
  <c r="E26" i="21"/>
  <c r="K87" i="3"/>
  <c r="K86" i="3"/>
  <c r="K82" i="3"/>
  <c r="E23" i="21" s="1"/>
  <c r="K74" i="3"/>
  <c r="K73" i="3"/>
  <c r="E22" i="21" s="1"/>
  <c r="K72" i="3"/>
  <c r="K71" i="3"/>
  <c r="K67" i="3"/>
  <c r="E19" i="21" s="1"/>
  <c r="K65" i="3"/>
  <c r="K64" i="3"/>
  <c r="K62" i="3"/>
  <c r="K61" i="3"/>
  <c r="K60" i="3"/>
  <c r="K58" i="3"/>
  <c r="K57" i="3"/>
  <c r="K55" i="3"/>
  <c r="K54" i="3"/>
  <c r="K52" i="3"/>
  <c r="K50" i="3"/>
  <c r="K49" i="3"/>
  <c r="K47" i="3"/>
  <c r="K43" i="3"/>
  <c r="K41" i="3"/>
  <c r="K40" i="3"/>
  <c r="K39" i="3"/>
  <c r="K36" i="3"/>
  <c r="K35" i="3"/>
  <c r="K34" i="3"/>
  <c r="K33" i="3"/>
  <c r="K32" i="3"/>
  <c r="K31" i="3"/>
  <c r="E35" i="20"/>
  <c r="I116" i="3"/>
  <c r="I113" i="3"/>
  <c r="I109" i="3"/>
  <c r="I105" i="3"/>
  <c r="I87" i="3"/>
  <c r="I86" i="3"/>
  <c r="I82" i="3"/>
  <c r="I78" i="3"/>
  <c r="I74" i="3"/>
  <c r="I73" i="3"/>
  <c r="I72" i="3"/>
  <c r="I71" i="3"/>
  <c r="I67" i="3"/>
  <c r="I65" i="3"/>
  <c r="I64" i="3"/>
  <c r="I62" i="3"/>
  <c r="I61" i="3"/>
  <c r="I60" i="3"/>
  <c r="I58" i="3"/>
  <c r="I57" i="3"/>
  <c r="I55" i="3"/>
  <c r="I54" i="3"/>
  <c r="I52" i="3"/>
  <c r="I50" i="3"/>
  <c r="I49" i="3"/>
  <c r="I47" i="3"/>
  <c r="I43" i="3"/>
  <c r="I41" i="3"/>
  <c r="I40" i="3"/>
  <c r="I39" i="3"/>
  <c r="I23" i="3"/>
  <c r="I22" i="3"/>
  <c r="I21" i="3"/>
  <c r="I20" i="3"/>
  <c r="G116" i="3"/>
  <c r="E25" i="19" s="1"/>
  <c r="G113" i="3"/>
  <c r="G109" i="3"/>
  <c r="G105" i="3"/>
  <c r="G87" i="3"/>
  <c r="G86" i="3"/>
  <c r="G82" i="3"/>
  <c r="G78" i="3"/>
  <c r="G74" i="3"/>
  <c r="G73" i="3"/>
  <c r="G72" i="3"/>
  <c r="G71" i="3"/>
  <c r="G67" i="3"/>
  <c r="G65" i="3"/>
  <c r="G64" i="3"/>
  <c r="G62" i="3"/>
  <c r="G61" i="3"/>
  <c r="G60" i="3"/>
  <c r="G58" i="3"/>
  <c r="G57" i="3"/>
  <c r="G55" i="3"/>
  <c r="G54" i="3"/>
  <c r="G52" i="3"/>
  <c r="G50" i="3"/>
  <c r="G49" i="3"/>
  <c r="G47" i="3"/>
  <c r="G43" i="3"/>
  <c r="G41" i="3"/>
  <c r="G40" i="3"/>
  <c r="G39" i="3"/>
  <c r="G23" i="3"/>
  <c r="G22" i="3"/>
  <c r="G21" i="3"/>
  <c r="G20" i="3"/>
  <c r="G7" i="3"/>
  <c r="G6" i="3"/>
  <c r="G5" i="3"/>
  <c r="G4" i="3"/>
  <c r="E13" i="19" l="1"/>
  <c r="E14" i="19"/>
  <c r="E29" i="21"/>
  <c r="E20" i="21"/>
  <c r="E21" i="21"/>
  <c r="E24" i="21"/>
  <c r="E25" i="21"/>
  <c r="L119" i="3"/>
  <c r="E31" i="21"/>
  <c r="H36" i="20"/>
  <c r="G36" i="20" l="1"/>
  <c r="E36" i="20"/>
  <c r="F35" i="20"/>
  <c r="E34" i="20"/>
  <c r="F34" i="20" s="1"/>
  <c r="E21" i="20"/>
  <c r="F21" i="20" s="1"/>
  <c r="J36" i="20" l="1"/>
  <c r="F36" i="20"/>
  <c r="F15" i="21"/>
  <c r="F14" i="21"/>
  <c r="H12" i="19"/>
  <c r="H4" i="3"/>
  <c r="E12" i="19"/>
  <c r="F12" i="19" s="1"/>
  <c r="H15" i="19"/>
  <c r="H47" i="3"/>
  <c r="H52" i="3"/>
  <c r="H16" i="19"/>
  <c r="E16" i="19"/>
  <c r="F16" i="19" s="1"/>
  <c r="H20" i="19"/>
  <c r="E20" i="19"/>
  <c r="F20" i="19" s="1"/>
  <c r="H21" i="19"/>
  <c r="E21" i="19"/>
  <c r="F21" i="19" s="1"/>
  <c r="F22" i="19"/>
  <c r="F23" i="19"/>
  <c r="F25" i="19"/>
  <c r="H13" i="19"/>
  <c r="H20" i="3"/>
  <c r="F14" i="19"/>
  <c r="H14" i="19"/>
  <c r="H17" i="19"/>
  <c r="H18" i="19"/>
  <c r="J24" i="19"/>
  <c r="F24" i="19"/>
  <c r="F26" i="19"/>
  <c r="G33" i="21"/>
  <c r="H32" i="21"/>
  <c r="H19" i="21"/>
  <c r="J126" i="3"/>
  <c r="J116" i="3"/>
  <c r="G34" i="20" s="1"/>
  <c r="E32" i="20"/>
  <c r="F32" i="20" s="1"/>
  <c r="E31" i="20"/>
  <c r="F31" i="20" s="1"/>
  <c r="E30" i="20"/>
  <c r="F30" i="20" s="1"/>
  <c r="G21" i="20"/>
  <c r="H7" i="3"/>
  <c r="L31" i="3"/>
  <c r="L33" i="3"/>
  <c r="L34" i="3"/>
  <c r="L35" i="3"/>
  <c r="L36" i="3"/>
  <c r="L39" i="3"/>
  <c r="L40" i="3"/>
  <c r="L41" i="3"/>
  <c r="L43" i="3"/>
  <c r="L47" i="3"/>
  <c r="L49" i="3"/>
  <c r="L50" i="3"/>
  <c r="L52" i="3"/>
  <c r="L54" i="3"/>
  <c r="L55" i="3"/>
  <c r="L57" i="3"/>
  <c r="G20" i="21" s="1"/>
  <c r="L58" i="3"/>
  <c r="L60" i="3"/>
  <c r="L61" i="3"/>
  <c r="L62" i="3"/>
  <c r="L64" i="3"/>
  <c r="L65" i="3"/>
  <c r="L67" i="3"/>
  <c r="G19" i="21" s="1"/>
  <c r="L71" i="3"/>
  <c r="L72" i="3"/>
  <c r="L73" i="3"/>
  <c r="G22" i="21" s="1"/>
  <c r="L74" i="3"/>
  <c r="L78" i="3"/>
  <c r="L82" i="3"/>
  <c r="G23" i="21" s="1"/>
  <c r="L86" i="3"/>
  <c r="G24" i="21" s="1"/>
  <c r="L87" i="3"/>
  <c r="L91" i="3"/>
  <c r="L92" i="3"/>
  <c r="L93" i="3"/>
  <c r="L94" i="3"/>
  <c r="L98" i="3"/>
  <c r="L99" i="3"/>
  <c r="L100" i="3"/>
  <c r="L101" i="3"/>
  <c r="L105" i="3"/>
  <c r="G28" i="21" s="1"/>
  <c r="L109" i="3"/>
  <c r="G29" i="21" s="1"/>
  <c r="L113" i="3"/>
  <c r="G30" i="21" s="1"/>
  <c r="L116" i="3"/>
  <c r="G31" i="21"/>
  <c r="L123" i="3"/>
  <c r="L124" i="3"/>
  <c r="G32" i="21" s="1"/>
  <c r="L131" i="3"/>
  <c r="J5" i="3"/>
  <c r="J6" i="3"/>
  <c r="J7" i="3"/>
  <c r="J21" i="3"/>
  <c r="J22" i="3"/>
  <c r="J23" i="3"/>
  <c r="J39" i="3"/>
  <c r="J40" i="3"/>
  <c r="J41" i="3"/>
  <c r="J43" i="3"/>
  <c r="J47" i="3"/>
  <c r="J49" i="3"/>
  <c r="J50" i="3"/>
  <c r="J52" i="3"/>
  <c r="J54" i="3"/>
  <c r="J55" i="3"/>
  <c r="J57" i="3"/>
  <c r="J58" i="3"/>
  <c r="J60" i="3"/>
  <c r="J61" i="3"/>
  <c r="J62" i="3"/>
  <c r="J64" i="3"/>
  <c r="J65" i="3"/>
  <c r="J67" i="3"/>
  <c r="J72" i="3"/>
  <c r="J73" i="3"/>
  <c r="J74" i="3"/>
  <c r="E24" i="20"/>
  <c r="F24" i="20" s="1"/>
  <c r="J92" i="3"/>
  <c r="J93" i="3"/>
  <c r="J94" i="3"/>
  <c r="F27" i="21"/>
  <c r="J99" i="3"/>
  <c r="J100" i="3"/>
  <c r="J101" i="3"/>
  <c r="J124" i="3"/>
  <c r="J127" i="3"/>
  <c r="G35" i="20" s="1"/>
  <c r="J131" i="3"/>
  <c r="H5" i="3"/>
  <c r="H6" i="3"/>
  <c r="H21" i="3"/>
  <c r="H22" i="3"/>
  <c r="H39" i="3"/>
  <c r="H40" i="3"/>
  <c r="H41" i="3"/>
  <c r="E15" i="19"/>
  <c r="F15" i="19" s="1"/>
  <c r="H49" i="3"/>
  <c r="H50" i="3"/>
  <c r="H54" i="3"/>
  <c r="H55" i="3"/>
  <c r="H58" i="3"/>
  <c r="H60" i="3"/>
  <c r="H61" i="3"/>
  <c r="H62" i="3"/>
  <c r="H63" i="3"/>
  <c r="H64" i="3"/>
  <c r="H65" i="3"/>
  <c r="H66" i="3"/>
  <c r="H67" i="3"/>
  <c r="H71" i="3"/>
  <c r="H72" i="3"/>
  <c r="H73" i="3"/>
  <c r="H74" i="3"/>
  <c r="H87" i="3"/>
  <c r="H91" i="3"/>
  <c r="G19" i="19" s="1"/>
  <c r="H92" i="3"/>
  <c r="H94" i="3"/>
  <c r="H99" i="3"/>
  <c r="H100" i="3"/>
  <c r="H101" i="3"/>
  <c r="H116" i="3"/>
  <c r="G25" i="19" s="1"/>
  <c r="H123" i="3"/>
  <c r="G24" i="19" s="1"/>
  <c r="H126" i="3"/>
  <c r="H127" i="3"/>
  <c r="G26" i="19" s="1"/>
  <c r="H131" i="3"/>
  <c r="J4" i="3"/>
  <c r="F34" i="21"/>
  <c r="F33" i="21"/>
  <c r="F29" i="21"/>
  <c r="F26" i="21"/>
  <c r="E32" i="21"/>
  <c r="F32" i="21" s="1"/>
  <c r="F32" i="3"/>
  <c r="F36" i="3"/>
  <c r="F35" i="3"/>
  <c r="F34" i="3"/>
  <c r="F33" i="3"/>
  <c r="F31" i="3"/>
  <c r="H33" i="21"/>
  <c r="H31" i="21"/>
  <c r="H30" i="21"/>
  <c r="H29" i="21"/>
  <c r="H28" i="21"/>
  <c r="H27" i="21"/>
  <c r="H26" i="21"/>
  <c r="H25" i="21"/>
  <c r="H24" i="21"/>
  <c r="H23" i="21"/>
  <c r="H22" i="21"/>
  <c r="H21" i="21"/>
  <c r="H20" i="21"/>
  <c r="J35" i="20"/>
  <c r="H34" i="20"/>
  <c r="H25" i="20"/>
  <c r="H20" i="20"/>
  <c r="H33" i="20"/>
  <c r="H32" i="20"/>
  <c r="H31" i="20"/>
  <c r="H30" i="20"/>
  <c r="H29" i="20"/>
  <c r="H28" i="20"/>
  <c r="H27" i="20"/>
  <c r="H26" i="20"/>
  <c r="H24" i="20"/>
  <c r="H23" i="20"/>
  <c r="H22" i="20"/>
  <c r="H21" i="20"/>
  <c r="J21" i="20" s="1"/>
  <c r="H19" i="20"/>
  <c r="H18" i="20"/>
  <c r="H17" i="20"/>
  <c r="H16" i="20"/>
  <c r="H15" i="20"/>
  <c r="G27" i="21" l="1"/>
  <c r="G26" i="21"/>
  <c r="J15" i="21"/>
  <c r="G12" i="19"/>
  <c r="G21" i="21"/>
  <c r="J14" i="21"/>
  <c r="G25" i="21"/>
  <c r="E25" i="20"/>
  <c r="J31" i="20"/>
  <c r="J24" i="20"/>
  <c r="H57" i="3"/>
  <c r="H43" i="3"/>
  <c r="J82" i="3"/>
  <c r="G24" i="20" s="1"/>
  <c r="J26" i="21"/>
  <c r="H78" i="3"/>
  <c r="J109" i="3"/>
  <c r="G30" i="20" s="1"/>
  <c r="J30" i="20"/>
  <c r="H23" i="3"/>
  <c r="G13" i="19" s="1"/>
  <c r="H98" i="3"/>
  <c r="J27" i="21"/>
  <c r="J32" i="20"/>
  <c r="J33" i="21"/>
  <c r="G32" i="20"/>
  <c r="J113" i="3"/>
  <c r="G31" i="20" s="1"/>
  <c r="G16" i="20"/>
  <c r="G15" i="20"/>
  <c r="E26" i="20"/>
  <c r="J86" i="3"/>
  <c r="G26" i="20" s="1"/>
  <c r="E18" i="19"/>
  <c r="H86" i="3"/>
  <c r="G18" i="19" s="1"/>
  <c r="E27" i="20"/>
  <c r="J91" i="3"/>
  <c r="G27" i="20" s="1"/>
  <c r="J29" i="21"/>
  <c r="J87" i="3"/>
  <c r="H109" i="3"/>
  <c r="G21" i="19" s="1"/>
  <c r="E33" i="20"/>
  <c r="J123" i="3"/>
  <c r="G33" i="20" s="1"/>
  <c r="J14" i="19"/>
  <c r="E29" i="20"/>
  <c r="J105" i="3"/>
  <c r="G29" i="20" s="1"/>
  <c r="E22" i="20"/>
  <c r="J71" i="3"/>
  <c r="G22" i="20" s="1"/>
  <c r="G20" i="20"/>
  <c r="G19" i="20"/>
  <c r="E17" i="20"/>
  <c r="E16" i="20"/>
  <c r="E15" i="20"/>
  <c r="E28" i="20"/>
  <c r="J98" i="3"/>
  <c r="G28" i="20" s="1"/>
  <c r="E23" i="20"/>
  <c r="J78" i="3"/>
  <c r="G23" i="20" s="1"/>
  <c r="E18" i="20"/>
  <c r="J20" i="3"/>
  <c r="G18" i="20" s="1"/>
  <c r="L32" i="3"/>
  <c r="E17" i="19"/>
  <c r="J21" i="19"/>
  <c r="J12" i="19"/>
  <c r="E20" i="20"/>
  <c r="E19" i="20"/>
  <c r="J15" i="19"/>
  <c r="J16" i="19"/>
  <c r="J22" i="19"/>
  <c r="J20" i="19"/>
  <c r="H82" i="3"/>
  <c r="G16" i="19" s="1"/>
  <c r="H93" i="3"/>
  <c r="H105" i="3"/>
  <c r="G20" i="19" s="1"/>
  <c r="H113" i="3"/>
  <c r="J25" i="19"/>
  <c r="J34" i="21"/>
  <c r="J26" i="19"/>
  <c r="J32" i="21"/>
  <c r="J23" i="19"/>
  <c r="J34" i="20"/>
  <c r="G17" i="20" l="1"/>
  <c r="G15" i="19"/>
  <c r="J23" i="20"/>
  <c r="F23" i="20"/>
  <c r="J26" i="20"/>
  <c r="F26" i="20"/>
  <c r="J20" i="20"/>
  <c r="F20" i="20"/>
  <c r="J19" i="20"/>
  <c r="F19" i="20"/>
  <c r="J25" i="20"/>
  <c r="F25" i="20"/>
  <c r="J28" i="20"/>
  <c r="F28" i="20"/>
  <c r="J33" i="20"/>
  <c r="F33" i="20"/>
  <c r="J22" i="20"/>
  <c r="F22" i="20"/>
  <c r="J27" i="20"/>
  <c r="F27" i="20"/>
  <c r="J19" i="21"/>
  <c r="F19" i="21"/>
  <c r="J24" i="21"/>
  <c r="F24" i="21"/>
  <c r="J21" i="21"/>
  <c r="F21" i="21"/>
  <c r="J23" i="21"/>
  <c r="F23" i="21"/>
  <c r="J16" i="21"/>
  <c r="F16" i="21"/>
  <c r="J25" i="21"/>
  <c r="F25" i="21"/>
  <c r="J20" i="21"/>
  <c r="F20" i="21"/>
  <c r="J31" i="21"/>
  <c r="F31" i="21"/>
  <c r="J17" i="21"/>
  <c r="F17" i="21"/>
  <c r="J28" i="21"/>
  <c r="F28" i="21"/>
  <c r="J30" i="21"/>
  <c r="F30" i="21"/>
  <c r="J22" i="21"/>
  <c r="F22" i="21"/>
  <c r="J29" i="20"/>
  <c r="F29" i="20"/>
  <c r="J15" i="20"/>
  <c r="F15" i="20"/>
  <c r="J17" i="20"/>
  <c r="F17" i="20"/>
  <c r="J18" i="20"/>
  <c r="F18" i="20"/>
  <c r="J16" i="20"/>
  <c r="F16" i="20"/>
  <c r="J19" i="19"/>
  <c r="F19" i="19"/>
  <c r="J13" i="19"/>
  <c r="F13" i="19"/>
  <c r="J17" i="19"/>
  <c r="F17" i="19"/>
  <c r="J18" i="19"/>
  <c r="F18" i="19"/>
  <c r="G17" i="19"/>
  <c r="G25" i="20"/>
  <c r="G14" i="19"/>
  <c r="G38" i="20" l="1"/>
  <c r="G39" i="20" s="1"/>
  <c r="J28" i="19" a="1"/>
  <c r="J28" i="19" s="1"/>
  <c r="J29" i="19" s="1"/>
  <c r="J36" i="21" a="1"/>
  <c r="J36" i="21" s="1"/>
  <c r="J37" i="21" s="1"/>
  <c r="J38" i="20" a="1"/>
  <c r="J38" i="20" s="1"/>
  <c r="J39" i="20" s="1"/>
  <c r="G36" i="21"/>
  <c r="G37" i="21" s="1"/>
  <c r="G28" i="19"/>
  <c r="G29" i="19" s="1"/>
</calcChain>
</file>

<file path=xl/comments1.xml><?xml version="1.0" encoding="utf-8"?>
<comments xmlns="http://schemas.openxmlformats.org/spreadsheetml/2006/main">
  <authors>
    <author>Thongsiri, Teerasak</author>
  </authors>
  <commentList>
    <comment ref="D6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If you didn't know exactly height.
High rise building use 3 meters
Low rise building use 2.4 meters</t>
        </r>
      </text>
    </comment>
    <comment ref="D8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Dry area use 600mm.
Wet area use 400mm.
</t>
        </r>
      </text>
    </comment>
    <comment ref="D9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Technical advised 5%
if you adjust please take a risk on your own</t>
        </r>
      </text>
    </comment>
  </commentList>
</comments>
</file>

<file path=xl/comments2.xml><?xml version="1.0" encoding="utf-8"?>
<comments xmlns="http://schemas.openxmlformats.org/spreadsheetml/2006/main">
  <authors>
    <author>Thongsiri, Teerasak</author>
  </authors>
  <commentList>
    <comment ref="D7" authorId="0" shapeId="0">
      <text>
        <r>
          <rPr>
            <b/>
            <sz val="9"/>
            <color indexed="81"/>
            <rFont val="Tahoma"/>
            <family val="2"/>
          </rPr>
          <t xml:space="preserve">Thongsiri, Teerasak:
</t>
        </r>
        <r>
          <rPr>
            <sz val="9"/>
            <color indexed="81"/>
            <rFont val="Tahoma"/>
            <family val="2"/>
          </rPr>
          <t>If you didn't know exactly height.
High rise building use 3 meters
Low rise building use 2.4 meters</t>
        </r>
      </text>
    </comment>
    <comment ref="D9" authorId="0" shapeId="0">
      <text>
        <r>
          <rPr>
            <b/>
            <sz val="9"/>
            <color indexed="81"/>
            <rFont val="Tahoma"/>
            <family val="2"/>
          </rPr>
          <t xml:space="preserve">Thongsiri, Teerasak:
Dry area use 600mm.
</t>
        </r>
        <r>
          <rPr>
            <sz val="9"/>
            <color indexed="81"/>
            <rFont val="Tahoma"/>
            <family val="2"/>
          </rPr>
          <t>Wet area use 400mm.</t>
        </r>
      </text>
    </comment>
    <comment ref="D11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If none please fill 0 (zero)</t>
        </r>
      </text>
    </comment>
    <comment ref="D12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Technical advised 5%
if you adjust please take a risk on your own</t>
        </r>
      </text>
    </comment>
  </commentList>
</comments>
</file>

<file path=xl/comments3.xml><?xml version="1.0" encoding="utf-8"?>
<comments xmlns="http://schemas.openxmlformats.org/spreadsheetml/2006/main">
  <authors>
    <author>Thongsiri, Teerasak</author>
  </authors>
  <commentList>
    <comment ref="D11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Technical advised 5%
if you adjust please take a risk on your own</t>
        </r>
      </text>
    </comment>
  </commentList>
</comments>
</file>

<file path=xl/comments4.xml><?xml version="1.0" encoding="utf-8"?>
<comments xmlns="http://schemas.openxmlformats.org/spreadsheetml/2006/main">
  <authors>
    <author>Thongsiri, Teerasak</author>
  </authors>
  <commentList>
    <comment ref="A12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J track</t>
        </r>
      </text>
    </comment>
    <comment ref="F12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13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J track</t>
        </r>
      </text>
    </comment>
    <comment ref="F13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14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J track</t>
        </r>
      </text>
    </comment>
    <comment ref="F14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15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J track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16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J track</t>
        </r>
      </text>
    </comment>
    <comment ref="F16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17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J track</t>
        </r>
      </text>
    </comment>
    <comment ref="F17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C-H stud
</t>
        </r>
      </text>
    </comment>
    <comment ref="F31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32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C-H stud</t>
        </r>
      </text>
    </comment>
    <comment ref="F32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33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C-H stud</t>
        </r>
      </text>
    </comment>
    <comment ref="F33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34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C-H stud</t>
        </r>
      </text>
    </comment>
    <comment ref="F34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35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C-H stud</t>
        </r>
      </text>
    </comment>
    <comment ref="F35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36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C-H stud</t>
        </r>
      </text>
    </comment>
    <comment ref="F36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91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700 pcs/kg/box
</t>
        </r>
      </text>
    </comment>
    <comment ref="A92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488 pcs/kg/box
</t>
        </r>
      </text>
    </comment>
    <comment ref="A93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500 pcs/box</t>
        </r>
      </text>
    </comment>
    <comment ref="A94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500 pcs/box</t>
        </r>
      </text>
    </comment>
    <comment ref="A105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694 pcs/kg</t>
        </r>
      </text>
    </comment>
    <comment ref="A119" authorId="0" shapeId="0">
      <text>
        <r>
          <rPr>
            <b/>
            <sz val="9"/>
            <color indexed="81"/>
            <rFont val="Tahoma"/>
            <family val="2"/>
          </rPr>
          <t xml:space="preserve">Thongsiri, Teerasak:
</t>
        </r>
        <r>
          <rPr>
            <sz val="9"/>
            <color indexed="81"/>
            <rFont val="Tahoma"/>
            <family val="2"/>
          </rPr>
          <t>1200x30,000/pc</t>
        </r>
      </text>
    </comment>
    <comment ref="A120" authorId="0" shapeId="0">
      <text>
        <r>
          <rPr>
            <b/>
            <sz val="9"/>
            <color indexed="81"/>
            <rFont val="Tahoma"/>
            <family val="2"/>
          </rPr>
          <t xml:space="preserve">Thongsiri, Teerasak:
</t>
        </r>
        <r>
          <rPr>
            <sz val="9"/>
            <color indexed="81"/>
            <rFont val="Tahoma"/>
            <family val="2"/>
          </rPr>
          <t>1200x10,000/pc</t>
        </r>
      </text>
    </comment>
    <comment ref="A123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4 lines</t>
        </r>
      </text>
    </comment>
    <comment ref="A124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4 lines</t>
        </r>
      </text>
    </comment>
    <comment ref="A126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Apply up to 1.8 m.</t>
        </r>
      </text>
    </comment>
    <comment ref="A127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Apply on kerb and above 200mm.</t>
        </r>
      </text>
    </comment>
    <comment ref="A128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Apply up to 1.8 m.</t>
        </r>
      </text>
    </comment>
    <comment ref="A129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Apply on kerb and above 200mm.</t>
        </r>
      </text>
    </comment>
  </commentList>
</comments>
</file>

<file path=xl/sharedStrings.xml><?xml version="1.0" encoding="utf-8"?>
<sst xmlns="http://schemas.openxmlformats.org/spreadsheetml/2006/main" count="553" uniqueCount="255">
  <si>
    <t>Material Take off (BOQ)</t>
  </si>
  <si>
    <t>Items</t>
  </si>
  <si>
    <t>Size</t>
  </si>
  <si>
    <t>Amount</t>
  </si>
  <si>
    <t>price/unit</t>
  </si>
  <si>
    <t>discount %</t>
  </si>
  <si>
    <t>Total price</t>
  </si>
  <si>
    <t>Remark</t>
  </si>
  <si>
    <t>3.00 m.</t>
  </si>
  <si>
    <t>pcs.</t>
  </si>
  <si>
    <r>
      <t>Note:</t>
    </r>
    <r>
      <rPr>
        <sz val="14"/>
        <rFont val="AngsanaUPC"/>
        <family val="1"/>
      </rPr>
      <t xml:space="preserve"> Prices are up to date according to Price List</t>
    </r>
  </si>
  <si>
    <t>TOTAL</t>
  </si>
  <si>
    <t>Price per Sq.m.</t>
  </si>
  <si>
    <t>Bath/Sq.m.</t>
  </si>
  <si>
    <t xml:space="preserve">All of estimated costs are based on products from Thai Gypsum Products Pcl. only. </t>
  </si>
  <si>
    <t>** This take off provides only gross idea of cost estimation, in case of actual cost, it may need to calculate from actual material usgae in drawing details.</t>
  </si>
  <si>
    <t>*** All of material quantities have been added more 5% as amount of lost may be concerned</t>
  </si>
  <si>
    <t xml:space="preserve">*** The company may has rights to change some items, pirce and details without notice. </t>
  </si>
  <si>
    <t>Frame</t>
  </si>
  <si>
    <t>Twin Frame</t>
  </si>
  <si>
    <t>Single Frame</t>
  </si>
  <si>
    <t>Deflection head allowed</t>
  </si>
  <si>
    <t>mm.</t>
  </si>
  <si>
    <t>Height of the partition</t>
  </si>
  <si>
    <t>Length of the partition</t>
  </si>
  <si>
    <t>Stud</t>
  </si>
  <si>
    <t>C-Stud 49S50</t>
  </si>
  <si>
    <t>length</t>
  </si>
  <si>
    <t>width</t>
  </si>
  <si>
    <t>C-Stud 62S50</t>
  </si>
  <si>
    <t>C-Stud 74S50</t>
  </si>
  <si>
    <t>C-Stud 92S50</t>
  </si>
  <si>
    <t>1st stud</t>
  </si>
  <si>
    <t>2nd stud</t>
  </si>
  <si>
    <t>Top track</t>
  </si>
  <si>
    <t>Bottom Track</t>
  </si>
  <si>
    <t>U-Track 51T50</t>
  </si>
  <si>
    <t>U-Track 64T50</t>
  </si>
  <si>
    <t>U-Track 76T50</t>
  </si>
  <si>
    <t>U-Track 94T50</t>
  </si>
  <si>
    <t>51DC60</t>
  </si>
  <si>
    <t>64DC60</t>
  </si>
  <si>
    <t>76DC60</t>
  </si>
  <si>
    <t>94DC60</t>
  </si>
  <si>
    <t>usage</t>
  </si>
  <si>
    <t>Board</t>
  </si>
  <si>
    <t>thick</t>
  </si>
  <si>
    <t>RG 9mm 1200x2400</t>
  </si>
  <si>
    <t>RG 12mm 1200x2400</t>
  </si>
  <si>
    <t>DU 13mm 1200x2400</t>
  </si>
  <si>
    <t>Habito 12.5mm 1200x2400</t>
  </si>
  <si>
    <t>MR 9mm 1200x2400</t>
  </si>
  <si>
    <t>MR 12mm 1200x2400</t>
  </si>
  <si>
    <t>FS 16mm 1200x2400</t>
  </si>
  <si>
    <t>Glasroc H 12.5mm 1200x2400</t>
  </si>
  <si>
    <t>Shaftliner 25.4mm 600x2400</t>
  </si>
  <si>
    <t>Board strip</t>
  </si>
  <si>
    <t>Fixing strap (deflection)</t>
  </si>
  <si>
    <t>Fixing strap (jointing)</t>
  </si>
  <si>
    <t>Expansion bolt</t>
  </si>
  <si>
    <t>Drywall screw (inner)</t>
  </si>
  <si>
    <t>Drywall screw (outer)</t>
  </si>
  <si>
    <t>Wafer head screw</t>
  </si>
  <si>
    <t>Jointing plaster</t>
  </si>
  <si>
    <t>Insulation</t>
  </si>
  <si>
    <t>Sealant</t>
  </si>
  <si>
    <t>Shaftliner 25.4mm 51x2400</t>
  </si>
  <si>
    <t>Shaftliner 25.4mm 64x2400</t>
  </si>
  <si>
    <t>Shaftliner 25.4mm 76x2400</t>
  </si>
  <si>
    <t>Shaftliner 25.4mm 94x2400</t>
  </si>
  <si>
    <t>Fixing strap (Deflection)</t>
  </si>
  <si>
    <t>GFS1</t>
  </si>
  <si>
    <t>Fixing strap (Jointing)</t>
  </si>
  <si>
    <t>2.40 m.</t>
  </si>
  <si>
    <t>Expansion bolt 6mm</t>
  </si>
  <si>
    <t>Expansion bolt 6mm length 75mm</t>
  </si>
  <si>
    <t>Drywall screw 25mm</t>
  </si>
  <si>
    <t>Drywall screw 38mm</t>
  </si>
  <si>
    <t>Hartfix screw 25mm</t>
  </si>
  <si>
    <t>Hartfix screw 38mm</t>
  </si>
  <si>
    <t>Hartfix screw 45mm</t>
  </si>
  <si>
    <t>Screw 75mm</t>
  </si>
  <si>
    <t>Wafer head screw 13mm</t>
  </si>
  <si>
    <t>Weight</t>
  </si>
  <si>
    <t>Gyproc Joint Filler/Finish</t>
  </si>
  <si>
    <t>Width</t>
  </si>
  <si>
    <t>Volume</t>
  </si>
  <si>
    <t>Normal sealant 600ml</t>
  </si>
  <si>
    <t>Fire sealant 600ml</t>
  </si>
  <si>
    <t>m.</t>
  </si>
  <si>
    <t>Track</t>
  </si>
  <si>
    <t>Stud spacing</t>
  </si>
  <si>
    <t>Nominal thickness</t>
  </si>
  <si>
    <t>Tape</t>
  </si>
  <si>
    <t>Cotton tape</t>
  </si>
  <si>
    <t>Length</t>
  </si>
  <si>
    <t>Fiba tape</t>
  </si>
  <si>
    <t>bags</t>
  </si>
  <si>
    <t>Price</t>
  </si>
  <si>
    <t>boxes</t>
  </si>
  <si>
    <t>Partition : Gypwall Twin Frame</t>
  </si>
  <si>
    <t>FS 13mm 1200x2400</t>
  </si>
  <si>
    <t>RG 15mm 1200x2400</t>
  </si>
  <si>
    <t>ThermaLine 59mm 1200x2400</t>
  </si>
  <si>
    <t>ThermaLine 44mm 1200x2400</t>
  </si>
  <si>
    <t>ThermaLine 29mm 1200x2400</t>
  </si>
  <si>
    <t>ThermaLine MR 59mm 1200x2400</t>
  </si>
  <si>
    <t>ThermaLine MR 29mm 1200x2400</t>
  </si>
  <si>
    <t>M2TECH 9mm 1200x2400</t>
  </si>
  <si>
    <t>General details</t>
  </si>
  <si>
    <t>1st layer</t>
  </si>
  <si>
    <t>2nd layer</t>
  </si>
  <si>
    <t>3rd layer</t>
  </si>
  <si>
    <t>Expansion bolt (sofit)</t>
  </si>
  <si>
    <t>Expansion bolt (floor)</t>
  </si>
  <si>
    <t>Weber BE14 Tape (10m.)</t>
  </si>
  <si>
    <t>rolls.</t>
  </si>
  <si>
    <t>Partition : Gypwall Shaft Wall</t>
  </si>
  <si>
    <t>C-H 25-63</t>
  </si>
  <si>
    <t>C-H 25-76</t>
  </si>
  <si>
    <t>C-H 25-92</t>
  </si>
  <si>
    <t>C-H 25-100</t>
  </si>
  <si>
    <t>C-H 25-125</t>
  </si>
  <si>
    <t>C-H 25-150</t>
  </si>
  <si>
    <t>J 25-65</t>
  </si>
  <si>
    <t>J 25-78</t>
  </si>
  <si>
    <t>J 25-94</t>
  </si>
  <si>
    <t>J 25-102</t>
  </si>
  <si>
    <t>J 25-127</t>
  </si>
  <si>
    <t>J 25-153</t>
  </si>
  <si>
    <t>Normal sealant 600ml for Shaftwall</t>
  </si>
  <si>
    <t>ShaftWall</t>
  </si>
  <si>
    <t>kg/unit</t>
  </si>
  <si>
    <t>Weight per Sq.m.</t>
  </si>
  <si>
    <t>Total weight</t>
  </si>
  <si>
    <t>weight</t>
  </si>
  <si>
    <t>Bracing</t>
  </si>
  <si>
    <t>Bracing at</t>
  </si>
  <si>
    <t>Error factor</t>
  </si>
  <si>
    <t>Gyproc Super Joint</t>
  </si>
  <si>
    <t>Waterproof</t>
  </si>
  <si>
    <t>ISOVER Building Insulation 24K</t>
  </si>
  <si>
    <t>ISOVER Building Insulation 40K</t>
  </si>
  <si>
    <t>Log book</t>
  </si>
  <si>
    <t>Revised</t>
  </si>
  <si>
    <t>Detail</t>
  </si>
  <si>
    <t>Unit/sqm</t>
  </si>
  <si>
    <t>Waterproof tape</t>
  </si>
  <si>
    <t>520010010000001</t>
  </si>
  <si>
    <t>520010010000002</t>
  </si>
  <si>
    <t>520010010000003</t>
  </si>
  <si>
    <t>520010010000004</t>
  </si>
  <si>
    <t>520010020000001</t>
  </si>
  <si>
    <t>520010020000002</t>
  </si>
  <si>
    <t>520010020000003</t>
  </si>
  <si>
    <t>520010020000004</t>
  </si>
  <si>
    <t>100010020000005</t>
  </si>
  <si>
    <t>100010020000044</t>
  </si>
  <si>
    <t>100010020000070</t>
  </si>
  <si>
    <t>100020021300001</t>
  </si>
  <si>
    <t>100170020000002</t>
  </si>
  <si>
    <t>100160020000009</t>
  </si>
  <si>
    <t>100160020000011</t>
  </si>
  <si>
    <t>M2TECH 12mm 1200x2400</t>
  </si>
  <si>
    <t>100180020000001</t>
  </si>
  <si>
    <t>100040020000002</t>
  </si>
  <si>
    <t>100040020000007</t>
  </si>
  <si>
    <t>100020020000009</t>
  </si>
  <si>
    <t>100020020000013</t>
  </si>
  <si>
    <t>100090020000004</t>
  </si>
  <si>
    <t>100090020000005</t>
  </si>
  <si>
    <t>100090020000006</t>
  </si>
  <si>
    <t>100090020000008</t>
  </si>
  <si>
    <t>100090020000007</t>
  </si>
  <si>
    <t>520010030000004</t>
  </si>
  <si>
    <t>520080070000001</t>
  </si>
  <si>
    <t>520080080000001</t>
  </si>
  <si>
    <t>520080080000002</t>
  </si>
  <si>
    <t>520080080000011</t>
  </si>
  <si>
    <t>520080080000012</t>
  </si>
  <si>
    <t>520080080000013</t>
  </si>
  <si>
    <t>520080080000005</t>
  </si>
  <si>
    <t>520080080000004</t>
  </si>
  <si>
    <t>410010010100001</t>
  </si>
  <si>
    <t>410010010800001</t>
  </si>
  <si>
    <t>520080140000001</t>
  </si>
  <si>
    <t>520088260000009</t>
  </si>
  <si>
    <t>520088260000010</t>
  </si>
  <si>
    <t>included bracing btw stud.</t>
  </si>
  <si>
    <t>Face bracing</t>
  </si>
  <si>
    <t>Horizontal brace</t>
  </si>
  <si>
    <t>Wet area only</t>
  </si>
  <si>
    <t>Fiber mesh 5I</t>
  </si>
  <si>
    <t>520080140000011</t>
  </si>
  <si>
    <t>SYSTEM SELECTOR 2019</t>
  </si>
  <si>
    <t>Weber Dry Top (For GlasRoc)</t>
  </si>
  <si>
    <t>Weber Dry Top (For MR)</t>
  </si>
  <si>
    <t>Weber Dry 2Flex (For MR)</t>
  </si>
  <si>
    <t>Weber Dry 2Flex (For GlasRoc)</t>
  </si>
  <si>
    <t>Add Weber Dry 2Flex</t>
  </si>
  <si>
    <t>Revise price formular</t>
  </si>
  <si>
    <t>Revise price and size of ISOVER</t>
  </si>
  <si>
    <t/>
  </si>
  <si>
    <t>Revise screw quantity formula</t>
  </si>
  <si>
    <t>DU 16mm 1200x2400</t>
  </si>
  <si>
    <t>Date revised : 12 December 2019</t>
  </si>
  <si>
    <t>Add Duraline 16mm</t>
  </si>
  <si>
    <t>Add MR 15mm</t>
  </si>
  <si>
    <t>I stud 70I70</t>
  </si>
  <si>
    <t>GA1</t>
  </si>
  <si>
    <t>520040050000003</t>
  </si>
  <si>
    <t>70T50</t>
  </si>
  <si>
    <t>Shaft fixing</t>
  </si>
  <si>
    <t>Date revised : 3 March 2020</t>
  </si>
  <si>
    <t>SYSTEM SELECTOR 2020</t>
  </si>
  <si>
    <t>Add DU MR 16mm</t>
  </si>
  <si>
    <t>DU MR 16mm 1200x2400</t>
  </si>
  <si>
    <t>100020021600004</t>
  </si>
  <si>
    <t>Revised Shaftwall I stud</t>
  </si>
  <si>
    <t>Fire rate 1 hrs up - Fire sealant</t>
  </si>
  <si>
    <t>49/51</t>
  </si>
  <si>
    <t>62/64</t>
  </si>
  <si>
    <t>74/76</t>
  </si>
  <si>
    <t>92/94</t>
  </si>
  <si>
    <t>*** คิดอ้างอิงระบบ 74/76
หากใช้โครงไซส์ราคาอาจเปลี่ยนแปลง</t>
  </si>
  <si>
    <t>Gyproc frame</t>
  </si>
  <si>
    <t>C-stud 49S50 / U-track 51T50</t>
  </si>
  <si>
    <t>C-stud 62S50 / U-track 64T50</t>
  </si>
  <si>
    <t>C-stud 74S50 / U-track 76T50</t>
  </si>
  <si>
    <t>C-stud 92S50 / U-track 94T50</t>
  </si>
  <si>
    <t>งานผนัง - Gypfill SuperJoint</t>
  </si>
  <si>
    <t>Partion thickness 100-150mm.</t>
  </si>
  <si>
    <t>ระบบผนังกั้นห้อง Gypwall Single frame โครงคร่าว 74/76 - Single layer</t>
  </si>
  <si>
    <t>สกรูต้องทะลุหลังแผ่น 10มม. ดังตัวอย่าง ex.1-3
กรณี ThermaLine ใช้สกรู 75mm. ทุกความหนา</t>
  </si>
  <si>
    <t>การเลือกใช้กรู ex.1</t>
  </si>
  <si>
    <t>จำนวนชั้น</t>
  </si>
  <si>
    <t>บอร์ดที่ใช้</t>
  </si>
  <si>
    <t>ความหนาบอร์ด
(mm.)</t>
  </si>
  <si>
    <t>สกรูต้องยาวมากกว่าหรือเท่ากับ
(mm.)</t>
  </si>
  <si>
    <t>Drywall screws mm.</t>
  </si>
  <si>
    <t>Hartfix screws mm.</t>
  </si>
  <si>
    <t>1st Layer</t>
  </si>
  <si>
    <t>2nd Layer</t>
  </si>
  <si>
    <t>การเลือกใช้กรู ex.2</t>
  </si>
  <si>
    <t>การเลือกใช้กรู ex.3</t>
  </si>
  <si>
    <t>พื้นที่เปียก - Weber.tape fiber Mesh 5
พื้นที่แห้ง - Gyproc Cotton tape</t>
  </si>
  <si>
    <t>N/A</t>
  </si>
  <si>
    <t>100020021600001</t>
  </si>
  <si>
    <t>Fire rate 1 ชั่วโมงขึ้นไปใช้ Fire sealant
Gyproc TH ไม่มี sealant ขาย แนะนำให้ใช้ของแบรนด์อื่น</t>
  </si>
  <si>
    <t>Date revised : 6 April 2020</t>
  </si>
  <si>
    <t>Drywall screw (1st layer)</t>
  </si>
  <si>
    <t>45 *เนื่องจากเราไม่มี drywall screws 45mm. ขาย จึงต้องใช้ Hartfix แทน</t>
  </si>
  <si>
    <r>
      <t xml:space="preserve">Wet area only
</t>
    </r>
    <r>
      <rPr>
        <sz val="11"/>
        <color rgb="FFFF0000"/>
        <rFont val="Calibri"/>
        <family val="2"/>
        <charset val="222"/>
        <scheme val="minor"/>
      </rPr>
      <t>***Confirm item code&amp;price กับ PM หากไม่มีตัดออก</t>
    </r>
  </si>
  <si>
    <t>Fire sealant 580ml</t>
  </si>
  <si>
    <t>Drywall screw (2nd layer)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</si>
</sst>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name val="AngsanaUPC"/>
      <family val="1"/>
    </font>
    <font>
      <b/>
      <sz val="16"/>
      <name val="AngsanaUPC"/>
      <family val="1"/>
    </font>
    <font>
      <b/>
      <sz val="24"/>
      <name val="AngsanaUPC"/>
      <family val="1"/>
      <charset val="222"/>
    </font>
    <font>
      <b/>
      <u/>
      <sz val="18"/>
      <name val="AngsanaUPC"/>
      <family val="1"/>
    </font>
    <font>
      <sz val="16"/>
      <name val="AngsanaUPC"/>
      <family val="1"/>
      <charset val="222"/>
    </font>
    <font>
      <sz val="14"/>
      <name val="AngsanaUPC"/>
      <family val="1"/>
    </font>
    <font>
      <b/>
      <sz val="14"/>
      <name val="AngsanaUPC"/>
      <family val="1"/>
      <charset val="222"/>
    </font>
    <font>
      <b/>
      <sz val="14"/>
      <name val="AngsanaUPC"/>
      <family val="1"/>
    </font>
    <font>
      <b/>
      <u/>
      <sz val="14"/>
      <name val="AngsanaUPC"/>
      <family val="1"/>
      <charset val="222"/>
    </font>
    <font>
      <u/>
      <sz val="14"/>
      <name val="AngsanaUPC"/>
      <family val="1"/>
    </font>
    <font>
      <b/>
      <sz val="14"/>
      <name val="AngsanaUPC"/>
      <family val="1"/>
    </font>
    <font>
      <b/>
      <i/>
      <sz val="14"/>
      <name val="Cordia New"/>
      <family val="2"/>
      <charset val="222"/>
    </font>
    <font>
      <i/>
      <sz val="14"/>
      <name val="Cordia New"/>
      <family val="2"/>
      <charset val="22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charset val="222"/>
      <scheme val="minor"/>
    </font>
    <font>
      <b/>
      <sz val="11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AngsanaUPC"/>
      <family val="1"/>
    </font>
    <font>
      <sz val="11"/>
      <color rgb="FFFF0000"/>
      <name val="Calibri"/>
      <family val="2"/>
      <charset val="222"/>
      <scheme val="minor"/>
    </font>
    <font>
      <u/>
      <sz val="11"/>
      <color rgb="FFFF0000"/>
      <name val="Calibri"/>
      <family val="2"/>
      <charset val="22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8" fillId="0" borderId="0"/>
    <xf numFmtId="9" fontId="21" fillId="0" borderId="0" applyFont="0" applyFill="0" applyBorder="0" applyAlignment="0" applyProtection="0"/>
  </cellStyleXfs>
  <cellXfs count="178">
    <xf numFmtId="0" fontId="0" fillId="0" borderId="0" xfId="0"/>
    <xf numFmtId="0" fontId="0" fillId="3" borderId="0" xfId="0" applyFill="1" applyBorder="1"/>
    <xf numFmtId="0" fontId="7" fillId="3" borderId="0" xfId="0" applyFont="1" applyFill="1" applyAlignment="1">
      <alignment horizontal="center"/>
    </xf>
    <xf numFmtId="0" fontId="0" fillId="3" borderId="0" xfId="0" applyFill="1" applyBorder="1" applyAlignment="1">
      <alignment horizontal="left"/>
    </xf>
    <xf numFmtId="0" fontId="0" fillId="3" borderId="0" xfId="0" applyFill="1" applyAlignment="1"/>
    <xf numFmtId="0" fontId="8" fillId="3" borderId="0" xfId="0" applyFont="1" applyFill="1" applyBorder="1"/>
    <xf numFmtId="0" fontId="9" fillId="3" borderId="0" xfId="0" applyFont="1" applyFill="1" applyAlignment="1">
      <alignment horizontal="right"/>
    </xf>
    <xf numFmtId="0" fontId="10" fillId="4" borderId="1" xfId="0" applyFont="1" applyFill="1" applyBorder="1" applyAlignment="1">
      <alignment horizontal="centerContinuous"/>
    </xf>
    <xf numFmtId="0" fontId="10" fillId="4" borderId="1" xfId="0" applyFont="1" applyFill="1" applyBorder="1" applyAlignment="1">
      <alignment horizontal="center"/>
    </xf>
    <xf numFmtId="0" fontId="0" fillId="0" borderId="2" xfId="0" applyBorder="1"/>
    <xf numFmtId="4" fontId="0" fillId="0" borderId="2" xfId="0" applyNumberFormat="1" applyBorder="1" applyAlignment="1">
      <alignment horizontal="center"/>
    </xf>
    <xf numFmtId="0" fontId="0" fillId="0" borderId="4" xfId="0" applyBorder="1"/>
    <xf numFmtId="0" fontId="0" fillId="5" borderId="6" xfId="0" applyFill="1" applyBorder="1" applyAlignment="1">
      <alignment horizontal="center" vertical="top" wrapText="1"/>
    </xf>
    <xf numFmtId="0" fontId="0" fillId="0" borderId="8" xfId="0" applyBorder="1"/>
    <xf numFmtId="4" fontId="0" fillId="0" borderId="8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4" fontId="0" fillId="0" borderId="9" xfId="0" applyNumberFormat="1" applyBorder="1" applyAlignment="1">
      <alignment horizontal="center"/>
    </xf>
    <xf numFmtId="0" fontId="11" fillId="5" borderId="9" xfId="0" applyFont="1" applyFill="1" applyBorder="1" applyAlignment="1">
      <alignment horizontal="centerContinuous" wrapText="1"/>
    </xf>
    <xf numFmtId="0" fontId="12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4" fontId="0" fillId="0" borderId="9" xfId="0" applyNumberFormat="1" applyBorder="1"/>
    <xf numFmtId="0" fontId="13" fillId="0" borderId="0" xfId="0" applyFont="1" applyAlignment="1">
      <alignment horizontal="right"/>
    </xf>
    <xf numFmtId="4" fontId="0" fillId="6" borderId="0" xfId="0" applyNumberFormat="1" applyFill="1" applyBorder="1"/>
    <xf numFmtId="0" fontId="8" fillId="0" borderId="10" xfId="0" applyFont="1" applyFill="1" applyBorder="1" applyAlignment="1"/>
    <xf numFmtId="2" fontId="14" fillId="0" borderId="0" xfId="0" applyNumberFormat="1" applyFont="1" applyBorder="1" applyAlignment="1">
      <alignment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2" fontId="15" fillId="0" borderId="0" xfId="0" applyNumberFormat="1" applyFont="1" applyBorder="1"/>
    <xf numFmtId="0" fontId="17" fillId="0" borderId="2" xfId="0" applyFont="1" applyBorder="1"/>
    <xf numFmtId="0" fontId="16" fillId="0" borderId="2" xfId="0" applyFont="1" applyBorder="1"/>
    <xf numFmtId="4" fontId="16" fillId="0" borderId="2" xfId="0" applyNumberFormat="1" applyFont="1" applyBorder="1" applyAlignment="1">
      <alignment horizontal="center"/>
    </xf>
    <xf numFmtId="2" fontId="16" fillId="0" borderId="2" xfId="0" applyNumberFormat="1" applyFont="1" applyBorder="1" applyAlignment="1">
      <alignment horizontal="center"/>
    </xf>
    <xf numFmtId="9" fontId="16" fillId="0" borderId="3" xfId="0" applyNumberFormat="1" applyFont="1" applyBorder="1" applyAlignment="1">
      <alignment horizontal="center"/>
    </xf>
    <xf numFmtId="4" fontId="16" fillId="0" borderId="4" xfId="0" applyNumberFormat="1" applyFont="1" applyBorder="1" applyAlignment="1">
      <alignment horizontal="center"/>
    </xf>
    <xf numFmtId="0" fontId="16" fillId="0" borderId="4" xfId="0" applyFont="1" applyBorder="1"/>
    <xf numFmtId="0" fontId="17" fillId="0" borderId="4" xfId="0" applyFont="1" applyBorder="1"/>
    <xf numFmtId="0" fontId="17" fillId="0" borderId="7" xfId="0" applyFont="1" applyBorder="1" applyAlignment="1">
      <alignment horizontal="center"/>
    </xf>
    <xf numFmtId="0" fontId="18" fillId="5" borderId="6" xfId="0" applyFont="1" applyFill="1" applyBorder="1" applyAlignment="1">
      <alignment horizontal="left" wrapText="1"/>
    </xf>
    <xf numFmtId="0" fontId="16" fillId="5" borderId="6" xfId="0" applyFont="1" applyFill="1" applyBorder="1" applyAlignment="1">
      <alignment horizontal="center" wrapText="1"/>
    </xf>
    <xf numFmtId="0" fontId="5" fillId="0" borderId="0" xfId="0" applyFont="1" applyAlignment="1"/>
    <xf numFmtId="0" fontId="0" fillId="0" borderId="0" xfId="0" applyFill="1" applyBorder="1"/>
    <xf numFmtId="0" fontId="0" fillId="7" borderId="0" xfId="0" applyFill="1" applyBorder="1"/>
    <xf numFmtId="0" fontId="0" fillId="8" borderId="0" xfId="0" applyFill="1"/>
    <xf numFmtId="0" fontId="6" fillId="3" borderId="0" xfId="0" applyFont="1" applyFill="1" applyBorder="1"/>
    <xf numFmtId="0" fontId="16" fillId="0" borderId="7" xfId="0" applyFont="1" applyBorder="1"/>
    <xf numFmtId="0" fontId="17" fillId="0" borderId="7" xfId="0" applyFont="1" applyBorder="1"/>
    <xf numFmtId="0" fontId="0" fillId="0" borderId="7" xfId="0" applyBorder="1"/>
    <xf numFmtId="0" fontId="0" fillId="0" borderId="0" xfId="0" applyFill="1" applyBorder="1" applyAlignment="1"/>
    <xf numFmtId="0" fontId="0" fillId="8" borderId="11" xfId="0" applyFill="1" applyBorder="1" applyAlignment="1"/>
    <xf numFmtId="0" fontId="0" fillId="9" borderId="0" xfId="0" applyFill="1"/>
    <xf numFmtId="0" fontId="16" fillId="0" borderId="6" xfId="0" applyFont="1" applyBorder="1" applyAlignment="1">
      <alignment horizontal="center" wrapText="1" shrinkToFit="1"/>
    </xf>
    <xf numFmtId="0" fontId="11" fillId="0" borderId="6" xfId="0" applyFont="1" applyBorder="1" applyAlignment="1">
      <alignment vertical="top" wrapText="1"/>
    </xf>
    <xf numFmtId="0" fontId="17" fillId="5" borderId="6" xfId="0" applyFont="1" applyFill="1" applyBorder="1" applyAlignment="1">
      <alignment horizontal="center"/>
    </xf>
    <xf numFmtId="0" fontId="17" fillId="5" borderId="6" xfId="0" applyFont="1" applyFill="1" applyBorder="1" applyAlignment="1"/>
    <xf numFmtId="0" fontId="11" fillId="5" borderId="9" xfId="0" applyFont="1" applyFill="1" applyBorder="1" applyAlignment="1">
      <alignment horizontal="center" wrapText="1"/>
    </xf>
    <xf numFmtId="1" fontId="0" fillId="9" borderId="0" xfId="0" applyNumberFormat="1" applyFill="1"/>
    <xf numFmtId="0" fontId="0" fillId="9" borderId="12" xfId="0" applyFill="1" applyBorder="1" applyAlignment="1"/>
    <xf numFmtId="0" fontId="0" fillId="9" borderId="13" xfId="0" applyFill="1" applyBorder="1" applyAlignment="1"/>
    <xf numFmtId="0" fontId="0" fillId="8" borderId="11" xfId="0" applyFill="1" applyBorder="1"/>
    <xf numFmtId="2" fontId="0" fillId="0" borderId="0" xfId="0" applyNumberFormat="1"/>
    <xf numFmtId="0" fontId="0" fillId="8" borderId="11" xfId="0" applyFill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10" fillId="0" borderId="0" xfId="0" applyNumberFormat="1" applyFont="1" applyAlignment="1">
      <alignment horizontal="center"/>
    </xf>
    <xf numFmtId="9" fontId="0" fillId="7" borderId="0" xfId="2" applyFont="1" applyFill="1" applyBorder="1"/>
    <xf numFmtId="0" fontId="22" fillId="0" borderId="0" xfId="0" applyFont="1"/>
    <xf numFmtId="0" fontId="0" fillId="0" borderId="11" xfId="0" applyBorder="1"/>
    <xf numFmtId="0" fontId="0" fillId="10" borderId="11" xfId="0" applyFill="1" applyBorder="1"/>
    <xf numFmtId="49" fontId="8" fillId="0" borderId="0" xfId="0" applyNumberFormat="1" applyFont="1"/>
    <xf numFmtId="49" fontId="17" fillId="0" borderId="0" xfId="0" applyNumberFormat="1" applyFont="1"/>
    <xf numFmtId="49" fontId="0" fillId="0" borderId="0" xfId="0" applyNumberFormat="1"/>
    <xf numFmtId="0" fontId="0" fillId="11" borderId="0" xfId="0" applyFill="1"/>
    <xf numFmtId="0" fontId="0" fillId="0" borderId="5" xfId="0" applyBorder="1"/>
    <xf numFmtId="0" fontId="0" fillId="0" borderId="6" xfId="0" applyBorder="1"/>
    <xf numFmtId="0" fontId="0" fillId="0" borderId="9" xfId="0" applyBorder="1"/>
    <xf numFmtId="0" fontId="24" fillId="5" borderId="6" xfId="0" applyFont="1" applyFill="1" applyBorder="1" applyAlignment="1">
      <alignment horizontal="left"/>
    </xf>
    <xf numFmtId="0" fontId="11" fillId="0" borderId="6" xfId="0" applyFont="1" applyBorder="1" applyAlignment="1">
      <alignment wrapText="1"/>
    </xf>
    <xf numFmtId="2" fontId="0" fillId="7" borderId="0" xfId="0" applyNumberFormat="1" applyFill="1" applyBorder="1"/>
    <xf numFmtId="0" fontId="0" fillId="0" borderId="6" xfId="0" applyNumberFormat="1" applyBorder="1"/>
    <xf numFmtId="49" fontId="0" fillId="0" borderId="0" xfId="0" quotePrefix="1" applyNumberFormat="1"/>
    <xf numFmtId="2" fontId="0" fillId="8" borderId="0" xfId="0" applyNumberFormat="1" applyFill="1"/>
    <xf numFmtId="4" fontId="2" fillId="0" borderId="2" xfId="0" applyNumberFormat="1" applyFont="1" applyBorder="1" applyAlignment="1">
      <alignment horizontal="center"/>
    </xf>
    <xf numFmtId="0" fontId="1" fillId="0" borderId="0" xfId="0" quotePrefix="1" applyFont="1"/>
    <xf numFmtId="0" fontId="0" fillId="13" borderId="0" xfId="0" applyFill="1" applyBorder="1"/>
    <xf numFmtId="0" fontId="0" fillId="14" borderId="0" xfId="0" applyFill="1" applyBorder="1"/>
    <xf numFmtId="0" fontId="16" fillId="0" borderId="2" xfId="0" applyFont="1" applyFill="1" applyBorder="1"/>
    <xf numFmtId="0" fontId="0" fillId="14" borderId="2" xfId="0" applyFill="1" applyBorder="1"/>
    <xf numFmtId="0" fontId="11" fillId="15" borderId="6" xfId="0" applyFont="1" applyFill="1" applyBorder="1" applyAlignment="1">
      <alignment vertical="top" wrapText="1"/>
    </xf>
    <xf numFmtId="0" fontId="0" fillId="14" borderId="6" xfId="0" applyFill="1" applyBorder="1"/>
    <xf numFmtId="0" fontId="0" fillId="14" borderId="4" xfId="0" applyFill="1" applyBorder="1"/>
    <xf numFmtId="0" fontId="0" fillId="14" borderId="7" xfId="0" applyFill="1" applyBorder="1"/>
    <xf numFmtId="4" fontId="0" fillId="14" borderId="2" xfId="0" applyNumberFormat="1" applyFill="1" applyBorder="1" applyAlignment="1">
      <alignment horizontal="center"/>
    </xf>
    <xf numFmtId="2" fontId="16" fillId="14" borderId="2" xfId="0" applyNumberFormat="1" applyFont="1" applyFill="1" applyBorder="1" applyAlignment="1">
      <alignment horizontal="center"/>
    </xf>
    <xf numFmtId="9" fontId="16" fillId="14" borderId="3" xfId="0" applyNumberFormat="1" applyFont="1" applyFill="1" applyBorder="1" applyAlignment="1">
      <alignment horizontal="center"/>
    </xf>
    <xf numFmtId="4" fontId="16" fillId="14" borderId="4" xfId="0" applyNumberFormat="1" applyFont="1" applyFill="1" applyBorder="1" applyAlignment="1">
      <alignment horizontal="center"/>
    </xf>
    <xf numFmtId="0" fontId="23" fillId="14" borderId="6" xfId="0" applyFont="1" applyFill="1" applyBorder="1" applyAlignment="1">
      <alignment wrapText="1"/>
    </xf>
    <xf numFmtId="0" fontId="0" fillId="14" borderId="14" xfId="0" applyFill="1" applyBorder="1"/>
    <xf numFmtId="9" fontId="16" fillId="14" borderId="15" xfId="0" applyNumberFormat="1" applyFont="1" applyFill="1" applyBorder="1" applyAlignment="1">
      <alignment horizontal="center"/>
    </xf>
    <xf numFmtId="0" fontId="17" fillId="12" borderId="4" xfId="0" applyFont="1" applyFill="1" applyBorder="1"/>
    <xf numFmtId="0" fontId="16" fillId="12" borderId="4" xfId="0" applyFont="1" applyFill="1" applyBorder="1"/>
    <xf numFmtId="0" fontId="16" fillId="12" borderId="2" xfId="0" applyFont="1" applyFill="1" applyBorder="1"/>
    <xf numFmtId="0" fontId="0" fillId="12" borderId="2" xfId="0" applyFill="1" applyBorder="1"/>
    <xf numFmtId="0" fontId="17" fillId="12" borderId="2" xfId="0" applyFont="1" applyFill="1" applyBorder="1"/>
    <xf numFmtId="0" fontId="16" fillId="12" borderId="7" xfId="0" applyFont="1" applyFill="1" applyBorder="1"/>
    <xf numFmtId="0" fontId="17" fillId="12" borderId="7" xfId="0" applyFont="1" applyFill="1" applyBorder="1"/>
    <xf numFmtId="0" fontId="0" fillId="0" borderId="11" xfId="0" applyBorder="1" applyAlignment="1">
      <alignment horizontal="center"/>
    </xf>
    <xf numFmtId="0" fontId="0" fillId="11" borderId="0" xfId="0" applyFill="1" applyBorder="1"/>
    <xf numFmtId="0" fontId="0" fillId="11" borderId="5" xfId="0" applyFill="1" applyBorder="1"/>
    <xf numFmtId="0" fontId="16" fillId="11" borderId="4" xfId="0" applyFont="1" applyFill="1" applyBorder="1"/>
    <xf numFmtId="4" fontId="16" fillId="11" borderId="2" xfId="0" applyNumberFormat="1" applyFont="1" applyFill="1" applyBorder="1" applyAlignment="1">
      <alignment horizontal="center"/>
    </xf>
    <xf numFmtId="2" fontId="16" fillId="11" borderId="2" xfId="0" applyNumberFormat="1" applyFont="1" applyFill="1" applyBorder="1" applyAlignment="1">
      <alignment horizontal="center"/>
    </xf>
    <xf numFmtId="9" fontId="16" fillId="11" borderId="3" xfId="0" applyNumberFormat="1" applyFont="1" applyFill="1" applyBorder="1" applyAlignment="1">
      <alignment horizontal="center"/>
    </xf>
    <xf numFmtId="4" fontId="16" fillId="11" borderId="4" xfId="0" applyNumberFormat="1" applyFont="1" applyFill="1" applyBorder="1" applyAlignment="1">
      <alignment horizontal="center"/>
    </xf>
    <xf numFmtId="0" fontId="0" fillId="11" borderId="6" xfId="0" applyFill="1" applyBorder="1"/>
    <xf numFmtId="0" fontId="0" fillId="11" borderId="2" xfId="0" applyFill="1" applyBorder="1"/>
    <xf numFmtId="0" fontId="17" fillId="11" borderId="2" xfId="0" applyFont="1" applyFill="1" applyBorder="1"/>
    <xf numFmtId="0" fontId="0" fillId="0" borderId="21" xfId="0" applyBorder="1"/>
    <xf numFmtId="0" fontId="22" fillId="0" borderId="20" xfId="0" applyFont="1" applyBorder="1"/>
    <xf numFmtId="0" fontId="17" fillId="11" borderId="4" xfId="0" applyFont="1" applyFill="1" applyBorder="1"/>
    <xf numFmtId="0" fontId="17" fillId="11" borderId="6" xfId="0" applyFont="1" applyFill="1" applyBorder="1" applyAlignment="1"/>
    <xf numFmtId="0" fontId="16" fillId="11" borderId="7" xfId="0" applyFont="1" applyFill="1" applyBorder="1"/>
    <xf numFmtId="0" fontId="17" fillId="11" borderId="7" xfId="0" applyFont="1" applyFill="1" applyBorder="1"/>
    <xf numFmtId="0" fontId="17" fillId="11" borderId="7" xfId="0" applyFont="1" applyFill="1" applyBorder="1" applyAlignment="1">
      <alignment horizontal="center"/>
    </xf>
    <xf numFmtId="0" fontId="0" fillId="11" borderId="4" xfId="0" applyFill="1" applyBorder="1"/>
    <xf numFmtId="0" fontId="0" fillId="11" borderId="7" xfId="0" applyFill="1" applyBorder="1"/>
    <xf numFmtId="4" fontId="0" fillId="11" borderId="2" xfId="0" applyNumberFormat="1" applyFill="1" applyBorder="1" applyAlignment="1">
      <alignment horizontal="center"/>
    </xf>
    <xf numFmtId="0" fontId="10" fillId="11" borderId="6" xfId="0" applyFont="1" applyFill="1" applyBorder="1" applyAlignment="1">
      <alignment wrapText="1"/>
    </xf>
    <xf numFmtId="0" fontId="10" fillId="0" borderId="22" xfId="0" applyFont="1" applyBorder="1"/>
    <xf numFmtId="0" fontId="0" fillId="0" borderId="23" xfId="0" applyBorder="1"/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8" fillId="0" borderId="11" xfId="0" applyFont="1" applyBorder="1" applyAlignment="1">
      <alignment horizontal="center" wrapText="1"/>
    </xf>
    <xf numFmtId="0" fontId="0" fillId="15" borderId="11" xfId="0" applyFill="1" applyBorder="1"/>
    <xf numFmtId="0" fontId="0" fillId="0" borderId="11" xfId="0" applyFill="1" applyBorder="1" applyAlignment="1">
      <alignment horizontal="center"/>
    </xf>
    <xf numFmtId="0" fontId="0" fillId="16" borderId="11" xfId="0" applyFill="1" applyBorder="1"/>
    <xf numFmtId="0" fontId="0" fillId="15" borderId="11" xfId="0" applyFill="1" applyBorder="1" applyAlignment="1">
      <alignment horizontal="center"/>
    </xf>
    <xf numFmtId="0" fontId="0" fillId="16" borderId="1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1" xfId="0" applyFill="1" applyBorder="1"/>
    <xf numFmtId="0" fontId="10" fillId="11" borderId="0" xfId="0" applyFont="1" applyFill="1" applyAlignment="1">
      <alignment horizontal="center"/>
    </xf>
    <xf numFmtId="2" fontId="10" fillId="11" borderId="0" xfId="0" applyNumberFormat="1" applyFont="1" applyFill="1" applyAlignment="1">
      <alignment horizontal="center"/>
    </xf>
    <xf numFmtId="4" fontId="0" fillId="11" borderId="9" xfId="0" applyNumberFormat="1" applyFill="1" applyBorder="1"/>
    <xf numFmtId="0" fontId="11" fillId="11" borderId="9" xfId="0" applyFont="1" applyFill="1" applyBorder="1" applyAlignment="1">
      <alignment horizontal="centerContinuous" wrapText="1"/>
    </xf>
    <xf numFmtId="0" fontId="13" fillId="11" borderId="0" xfId="0" applyFont="1" applyFill="1" applyAlignment="1">
      <alignment horizontal="right"/>
    </xf>
    <xf numFmtId="4" fontId="0" fillId="11" borderId="0" xfId="0" applyNumberFormat="1" applyFill="1" applyBorder="1"/>
    <xf numFmtId="0" fontId="8" fillId="11" borderId="10" xfId="0" applyFont="1" applyFill="1" applyBorder="1" applyAlignment="1"/>
    <xf numFmtId="0" fontId="0" fillId="11" borderId="0" xfId="0" applyFill="1" applyBorder="1" applyAlignment="1">
      <alignment horizontal="left"/>
    </xf>
    <xf numFmtId="0" fontId="9" fillId="0" borderId="6" xfId="0" applyFont="1" applyFill="1" applyBorder="1" applyAlignment="1">
      <alignment vertical="top" wrapText="1"/>
    </xf>
    <xf numFmtId="0" fontId="10" fillId="5" borderId="6" xfId="0" applyFont="1" applyFill="1" applyBorder="1" applyAlignment="1">
      <alignment horizontal="left" wrapText="1"/>
    </xf>
    <xf numFmtId="0" fontId="0" fillId="9" borderId="0" xfId="0" applyFill="1" applyAlignment="1">
      <alignment horizontal="right"/>
    </xf>
    <xf numFmtId="0" fontId="1" fillId="0" borderId="4" xfId="0" applyFont="1" applyBorder="1"/>
    <xf numFmtId="0" fontId="8" fillId="16" borderId="11" xfId="0" applyFont="1" applyFill="1" applyBorder="1" applyAlignment="1">
      <alignment horizontal="left"/>
    </xf>
    <xf numFmtId="0" fontId="26" fillId="0" borderId="6" xfId="0" applyFont="1" applyFill="1" applyBorder="1"/>
    <xf numFmtId="0" fontId="26" fillId="0" borderId="4" xfId="0" applyFont="1" applyFill="1" applyBorder="1"/>
    <xf numFmtId="0" fontId="26" fillId="0" borderId="7" xfId="0" applyFont="1" applyFill="1" applyBorder="1"/>
    <xf numFmtId="4" fontId="26" fillId="0" borderId="2" xfId="0" applyNumberFormat="1" applyFont="1" applyFill="1" applyBorder="1" applyAlignment="1">
      <alignment horizontal="center"/>
    </xf>
    <xf numFmtId="2" fontId="26" fillId="0" borderId="2" xfId="0" applyNumberFormat="1" applyFont="1" applyFill="1" applyBorder="1" applyAlignment="1">
      <alignment horizontal="center"/>
    </xf>
    <xf numFmtId="9" fontId="26" fillId="0" borderId="3" xfId="0" applyNumberFormat="1" applyFont="1" applyFill="1" applyBorder="1" applyAlignment="1">
      <alignment horizontal="center"/>
    </xf>
    <xf numFmtId="4" fontId="26" fillId="0" borderId="4" xfId="0" applyNumberFormat="1" applyFont="1" applyFill="1" applyBorder="1" applyAlignment="1">
      <alignment horizontal="center"/>
    </xf>
    <xf numFmtId="0" fontId="26" fillId="0" borderId="2" xfId="0" applyFont="1" applyFill="1" applyBorder="1"/>
    <xf numFmtId="0" fontId="25" fillId="5" borderId="6" xfId="0" applyFont="1" applyFill="1" applyBorder="1" applyAlignment="1">
      <alignment horizontal="left" vertical="center" wrapText="1"/>
    </xf>
    <xf numFmtId="0" fontId="0" fillId="0" borderId="12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/>
    </xf>
    <xf numFmtId="0" fontId="27" fillId="0" borderId="6" xfId="0" applyFont="1" applyFill="1" applyBorder="1" applyAlignment="1">
      <alignment horizontal="left" wrapText="1"/>
    </xf>
    <xf numFmtId="0" fontId="26" fillId="0" borderId="6" xfId="0" applyFont="1" applyFill="1" applyBorder="1" applyAlignment="1">
      <alignment horizontal="left" wrapText="1"/>
    </xf>
    <xf numFmtId="0" fontId="3" fillId="0" borderId="0" xfId="0" applyFont="1" applyAlignment="1">
      <alignment horizontal="center"/>
    </xf>
    <xf numFmtId="15" fontId="4" fillId="0" borderId="0" xfId="0" applyNumberFormat="1" applyFont="1" applyFill="1" applyAlignment="1">
      <alignment horizontal="center"/>
    </xf>
    <xf numFmtId="0" fontId="5" fillId="0" borderId="0" xfId="0" applyFont="1" applyAlignment="1">
      <alignment horizontal="center"/>
    </xf>
    <xf numFmtId="0" fontId="10" fillId="4" borderId="17" xfId="0" applyFont="1" applyFill="1" applyBorder="1" applyAlignment="1">
      <alignment horizontal="center"/>
    </xf>
    <xf numFmtId="0" fontId="10" fillId="4" borderId="18" xfId="0" applyFont="1" applyFill="1" applyBorder="1" applyAlignment="1">
      <alignment horizontal="center"/>
    </xf>
    <xf numFmtId="0" fontId="10" fillId="4" borderId="19" xfId="0" applyFont="1" applyFill="1" applyBorder="1" applyAlignment="1">
      <alignment horizontal="center"/>
    </xf>
    <xf numFmtId="0" fontId="17" fillId="11" borderId="5" xfId="0" applyFont="1" applyFill="1" applyBorder="1" applyAlignment="1">
      <alignment horizontal="center" vertical="center" wrapText="1" shrinkToFit="1"/>
    </xf>
    <xf numFmtId="0" fontId="17" fillId="11" borderId="6" xfId="0" applyFont="1" applyFill="1" applyBorder="1" applyAlignment="1">
      <alignment horizontal="center" vertical="center" wrapText="1" shrinkToFit="1"/>
    </xf>
    <xf numFmtId="0" fontId="17" fillId="0" borderId="5" xfId="0" applyFont="1" applyBorder="1" applyAlignment="1">
      <alignment horizontal="center" wrapText="1" shrinkToFit="1"/>
    </xf>
    <xf numFmtId="0" fontId="16" fillId="0" borderId="6" xfId="0" applyFont="1" applyBorder="1" applyAlignment="1">
      <alignment horizontal="center" wrapText="1" shrinkToFit="1"/>
    </xf>
    <xf numFmtId="15" fontId="4" fillId="2" borderId="0" xfId="0" applyNumberFormat="1" applyFont="1" applyFill="1" applyAlignment="1">
      <alignment horizontal="center"/>
    </xf>
    <xf numFmtId="0" fontId="0" fillId="8" borderId="11" xfId="0" applyFill="1" applyBorder="1" applyAlignment="1">
      <alignment horizontal="center"/>
    </xf>
  </cellXfs>
  <cellStyles count="3">
    <cellStyle name="Normal" xfId="0" builtinId="0"/>
    <cellStyle name="Normal 2 2" xfId="1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8466</xdr:colOff>
      <xdr:row>0</xdr:row>
      <xdr:rowOff>177799</xdr:rowOff>
    </xdr:from>
    <xdr:to>
      <xdr:col>1</xdr:col>
      <xdr:colOff>563552</xdr:colOff>
      <xdr:row>2</xdr:row>
      <xdr:rowOff>8466</xdr:rowOff>
    </xdr:to>
    <xdr:pic>
      <xdr:nvPicPr>
        <xdr:cNvPr id="2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6" y="177799"/>
          <a:ext cx="1757353" cy="567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.%20Take%20off%20GypLyner%20system%20(for%20wall%20lining)%20-%206%20April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erWall@40"/>
      <sheetName val="ML50A-60x40x60cm"/>
      <sheetName val="ML 60x60"/>
      <sheetName val="Gyplyner"/>
      <sheetName val="Data"/>
      <sheetName val="SL40 80x40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>
      <selection activeCell="B16" sqref="B16"/>
    </sheetView>
  </sheetViews>
  <sheetFormatPr defaultRowHeight="14.4"/>
  <cols>
    <col min="2" max="2" width="44" customWidth="1"/>
  </cols>
  <sheetData>
    <row r="1" spans="1:2">
      <c r="A1" s="64" t="s">
        <v>143</v>
      </c>
    </row>
    <row r="2" spans="1:2">
      <c r="A2" s="66" t="s">
        <v>144</v>
      </c>
      <c r="B2" s="66" t="s">
        <v>145</v>
      </c>
    </row>
    <row r="3" spans="1:2">
      <c r="A3" s="160">
        <v>8</v>
      </c>
      <c r="B3" s="65" t="s">
        <v>199</v>
      </c>
    </row>
    <row r="4" spans="1:2">
      <c r="A4" s="161"/>
      <c r="B4" s="65" t="s">
        <v>200</v>
      </c>
    </row>
    <row r="5" spans="1:2">
      <c r="A5" s="161"/>
      <c r="B5" s="65"/>
    </row>
    <row r="6" spans="1:2">
      <c r="A6" s="162"/>
      <c r="B6" s="65"/>
    </row>
    <row r="7" spans="1:2">
      <c r="A7" s="160">
        <v>9</v>
      </c>
      <c r="B7" s="65" t="s">
        <v>201</v>
      </c>
    </row>
    <row r="8" spans="1:2">
      <c r="A8" s="161"/>
      <c r="B8" s="65"/>
    </row>
    <row r="9" spans="1:2">
      <c r="A9" s="161"/>
      <c r="B9" s="65"/>
    </row>
    <row r="10" spans="1:2">
      <c r="A10" s="162"/>
      <c r="B10" s="65"/>
    </row>
    <row r="11" spans="1:2">
      <c r="A11" s="160">
        <v>10</v>
      </c>
      <c r="B11" s="65" t="s">
        <v>203</v>
      </c>
    </row>
    <row r="12" spans="1:2">
      <c r="A12" s="161"/>
      <c r="B12" s="65" t="s">
        <v>206</v>
      </c>
    </row>
    <row r="13" spans="1:2">
      <c r="A13" s="161"/>
      <c r="B13" s="65" t="s">
        <v>207</v>
      </c>
    </row>
    <row r="14" spans="1:2">
      <c r="A14" s="162"/>
      <c r="B14" s="65"/>
    </row>
    <row r="15" spans="1:2">
      <c r="A15" s="163">
        <v>11</v>
      </c>
      <c r="B15" s="65" t="s">
        <v>218</v>
      </c>
    </row>
    <row r="16" spans="1:2">
      <c r="A16" s="163"/>
      <c r="B16" s="65" t="s">
        <v>215</v>
      </c>
    </row>
  </sheetData>
  <mergeCells count="4">
    <mergeCell ref="A3:A6"/>
    <mergeCell ref="A7:A10"/>
    <mergeCell ref="A11:A14"/>
    <mergeCell ref="A15:A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35"/>
  <sheetViews>
    <sheetView tabSelected="1" zoomScale="90" zoomScaleNormal="90" workbookViewId="0">
      <selection activeCell="U29" sqref="U29"/>
    </sheetView>
  </sheetViews>
  <sheetFormatPr defaultRowHeight="14.4"/>
  <cols>
    <col min="1" max="1" width="17.5546875" customWidth="1"/>
    <col min="2" max="2" width="22.44140625" customWidth="1"/>
    <col min="3" max="3" width="42.109375" customWidth="1"/>
    <col min="4" max="4" width="17.44140625" customWidth="1"/>
    <col min="5" max="7" width="13.33203125" customWidth="1"/>
    <col min="8" max="8" width="14.5546875" customWidth="1"/>
    <col min="9" max="9" width="9.33203125" customWidth="1"/>
    <col min="10" max="10" width="12.88671875" bestFit="1" customWidth="1"/>
    <col min="11" max="11" width="36.88671875" customWidth="1"/>
    <col min="14" max="14" width="28.77734375" customWidth="1"/>
    <col min="15" max="15" width="15.88671875" customWidth="1"/>
    <col min="16" max="16" width="23.21875" customWidth="1"/>
    <col min="17" max="17" width="20" customWidth="1"/>
    <col min="18" max="18" width="52.21875" customWidth="1"/>
    <col min="261" max="261" width="51.6640625" customWidth="1"/>
    <col min="262" max="262" width="11.109375" customWidth="1"/>
    <col min="263" max="263" width="13.33203125" customWidth="1"/>
    <col min="264" max="264" width="14.5546875" customWidth="1"/>
    <col min="265" max="265" width="9.33203125" customWidth="1"/>
    <col min="266" max="266" width="12" customWidth="1"/>
    <col min="267" max="267" width="41.44140625" bestFit="1" customWidth="1"/>
    <col min="517" max="517" width="51.6640625" customWidth="1"/>
    <col min="518" max="518" width="11.109375" customWidth="1"/>
    <col min="519" max="519" width="13.33203125" customWidth="1"/>
    <col min="520" max="520" width="14.5546875" customWidth="1"/>
    <col min="521" max="521" width="9.33203125" customWidth="1"/>
    <col min="522" max="522" width="12" customWidth="1"/>
    <col min="523" max="523" width="41.44140625" bestFit="1" customWidth="1"/>
    <col min="773" max="773" width="51.6640625" customWidth="1"/>
    <col min="774" max="774" width="11.109375" customWidth="1"/>
    <col min="775" max="775" width="13.33203125" customWidth="1"/>
    <col min="776" max="776" width="14.5546875" customWidth="1"/>
    <col min="777" max="777" width="9.33203125" customWidth="1"/>
    <col min="778" max="778" width="12" customWidth="1"/>
    <col min="779" max="779" width="41.44140625" bestFit="1" customWidth="1"/>
    <col min="1029" max="1029" width="51.6640625" customWidth="1"/>
    <col min="1030" max="1030" width="11.109375" customWidth="1"/>
    <col min="1031" max="1031" width="13.33203125" customWidth="1"/>
    <col min="1032" max="1032" width="14.5546875" customWidth="1"/>
    <col min="1033" max="1033" width="9.33203125" customWidth="1"/>
    <col min="1034" max="1034" width="12" customWidth="1"/>
    <col min="1035" max="1035" width="41.44140625" bestFit="1" customWidth="1"/>
    <col min="1285" max="1285" width="51.6640625" customWidth="1"/>
    <col min="1286" max="1286" width="11.109375" customWidth="1"/>
    <col min="1287" max="1287" width="13.33203125" customWidth="1"/>
    <col min="1288" max="1288" width="14.5546875" customWidth="1"/>
    <col min="1289" max="1289" width="9.33203125" customWidth="1"/>
    <col min="1290" max="1290" width="12" customWidth="1"/>
    <col min="1291" max="1291" width="41.44140625" bestFit="1" customWidth="1"/>
    <col min="1541" max="1541" width="51.6640625" customWidth="1"/>
    <col min="1542" max="1542" width="11.109375" customWidth="1"/>
    <col min="1543" max="1543" width="13.33203125" customWidth="1"/>
    <col min="1544" max="1544" width="14.5546875" customWidth="1"/>
    <col min="1545" max="1545" width="9.33203125" customWidth="1"/>
    <col min="1546" max="1546" width="12" customWidth="1"/>
    <col min="1547" max="1547" width="41.44140625" bestFit="1" customWidth="1"/>
    <col min="1797" max="1797" width="51.6640625" customWidth="1"/>
    <col min="1798" max="1798" width="11.109375" customWidth="1"/>
    <col min="1799" max="1799" width="13.33203125" customWidth="1"/>
    <col min="1800" max="1800" width="14.5546875" customWidth="1"/>
    <col min="1801" max="1801" width="9.33203125" customWidth="1"/>
    <col min="1802" max="1802" width="12" customWidth="1"/>
    <col min="1803" max="1803" width="41.44140625" bestFit="1" customWidth="1"/>
    <col min="2053" max="2053" width="51.6640625" customWidth="1"/>
    <col min="2054" max="2054" width="11.109375" customWidth="1"/>
    <col min="2055" max="2055" width="13.33203125" customWidth="1"/>
    <col min="2056" max="2056" width="14.5546875" customWidth="1"/>
    <col min="2057" max="2057" width="9.33203125" customWidth="1"/>
    <col min="2058" max="2058" width="12" customWidth="1"/>
    <col min="2059" max="2059" width="41.44140625" bestFit="1" customWidth="1"/>
    <col min="2309" max="2309" width="51.6640625" customWidth="1"/>
    <col min="2310" max="2310" width="11.109375" customWidth="1"/>
    <col min="2311" max="2311" width="13.33203125" customWidth="1"/>
    <col min="2312" max="2312" width="14.5546875" customWidth="1"/>
    <col min="2313" max="2313" width="9.33203125" customWidth="1"/>
    <col min="2314" max="2314" width="12" customWidth="1"/>
    <col min="2315" max="2315" width="41.44140625" bestFit="1" customWidth="1"/>
    <col min="2565" max="2565" width="51.6640625" customWidth="1"/>
    <col min="2566" max="2566" width="11.109375" customWidth="1"/>
    <col min="2567" max="2567" width="13.33203125" customWidth="1"/>
    <col min="2568" max="2568" width="14.5546875" customWidth="1"/>
    <col min="2569" max="2569" width="9.33203125" customWidth="1"/>
    <col min="2570" max="2570" width="12" customWidth="1"/>
    <col min="2571" max="2571" width="41.44140625" bestFit="1" customWidth="1"/>
    <col min="2821" max="2821" width="51.6640625" customWidth="1"/>
    <col min="2822" max="2822" width="11.109375" customWidth="1"/>
    <col min="2823" max="2823" width="13.33203125" customWidth="1"/>
    <col min="2824" max="2824" width="14.5546875" customWidth="1"/>
    <col min="2825" max="2825" width="9.33203125" customWidth="1"/>
    <col min="2826" max="2826" width="12" customWidth="1"/>
    <col min="2827" max="2827" width="41.44140625" bestFit="1" customWidth="1"/>
    <col min="3077" max="3077" width="51.6640625" customWidth="1"/>
    <col min="3078" max="3078" width="11.109375" customWidth="1"/>
    <col min="3079" max="3079" width="13.33203125" customWidth="1"/>
    <col min="3080" max="3080" width="14.5546875" customWidth="1"/>
    <col min="3081" max="3081" width="9.33203125" customWidth="1"/>
    <col min="3082" max="3082" width="12" customWidth="1"/>
    <col min="3083" max="3083" width="41.44140625" bestFit="1" customWidth="1"/>
    <col min="3333" max="3333" width="51.6640625" customWidth="1"/>
    <col min="3334" max="3334" width="11.109375" customWidth="1"/>
    <col min="3335" max="3335" width="13.33203125" customWidth="1"/>
    <col min="3336" max="3336" width="14.5546875" customWidth="1"/>
    <col min="3337" max="3337" width="9.33203125" customWidth="1"/>
    <col min="3338" max="3338" width="12" customWidth="1"/>
    <col min="3339" max="3339" width="41.44140625" bestFit="1" customWidth="1"/>
    <col min="3589" max="3589" width="51.6640625" customWidth="1"/>
    <col min="3590" max="3590" width="11.109375" customWidth="1"/>
    <col min="3591" max="3591" width="13.33203125" customWidth="1"/>
    <col min="3592" max="3592" width="14.5546875" customWidth="1"/>
    <col min="3593" max="3593" width="9.33203125" customWidth="1"/>
    <col min="3594" max="3594" width="12" customWidth="1"/>
    <col min="3595" max="3595" width="41.44140625" bestFit="1" customWidth="1"/>
    <col min="3845" max="3845" width="51.6640625" customWidth="1"/>
    <col min="3846" max="3846" width="11.109375" customWidth="1"/>
    <col min="3847" max="3847" width="13.33203125" customWidth="1"/>
    <col min="3848" max="3848" width="14.5546875" customWidth="1"/>
    <col min="3849" max="3849" width="9.33203125" customWidth="1"/>
    <col min="3850" max="3850" width="12" customWidth="1"/>
    <col min="3851" max="3851" width="41.44140625" bestFit="1" customWidth="1"/>
    <col min="4101" max="4101" width="51.6640625" customWidth="1"/>
    <col min="4102" max="4102" width="11.109375" customWidth="1"/>
    <col min="4103" max="4103" width="13.33203125" customWidth="1"/>
    <col min="4104" max="4104" width="14.5546875" customWidth="1"/>
    <col min="4105" max="4105" width="9.33203125" customWidth="1"/>
    <col min="4106" max="4106" width="12" customWidth="1"/>
    <col min="4107" max="4107" width="41.44140625" bestFit="1" customWidth="1"/>
    <col min="4357" max="4357" width="51.6640625" customWidth="1"/>
    <col min="4358" max="4358" width="11.109375" customWidth="1"/>
    <col min="4359" max="4359" width="13.33203125" customWidth="1"/>
    <col min="4360" max="4360" width="14.5546875" customWidth="1"/>
    <col min="4361" max="4361" width="9.33203125" customWidth="1"/>
    <col min="4362" max="4362" width="12" customWidth="1"/>
    <col min="4363" max="4363" width="41.44140625" bestFit="1" customWidth="1"/>
    <col min="4613" max="4613" width="51.6640625" customWidth="1"/>
    <col min="4614" max="4614" width="11.109375" customWidth="1"/>
    <col min="4615" max="4615" width="13.33203125" customWidth="1"/>
    <col min="4616" max="4616" width="14.5546875" customWidth="1"/>
    <col min="4617" max="4617" width="9.33203125" customWidth="1"/>
    <col min="4618" max="4618" width="12" customWidth="1"/>
    <col min="4619" max="4619" width="41.44140625" bestFit="1" customWidth="1"/>
    <col min="4869" max="4869" width="51.6640625" customWidth="1"/>
    <col min="4870" max="4870" width="11.109375" customWidth="1"/>
    <col min="4871" max="4871" width="13.33203125" customWidth="1"/>
    <col min="4872" max="4872" width="14.5546875" customWidth="1"/>
    <col min="4873" max="4873" width="9.33203125" customWidth="1"/>
    <col min="4874" max="4874" width="12" customWidth="1"/>
    <col min="4875" max="4875" width="41.44140625" bestFit="1" customWidth="1"/>
    <col min="5125" max="5125" width="51.6640625" customWidth="1"/>
    <col min="5126" max="5126" width="11.109375" customWidth="1"/>
    <col min="5127" max="5127" width="13.33203125" customWidth="1"/>
    <col min="5128" max="5128" width="14.5546875" customWidth="1"/>
    <col min="5129" max="5129" width="9.33203125" customWidth="1"/>
    <col min="5130" max="5130" width="12" customWidth="1"/>
    <col min="5131" max="5131" width="41.44140625" bestFit="1" customWidth="1"/>
    <col min="5381" max="5381" width="51.6640625" customWidth="1"/>
    <col min="5382" max="5382" width="11.109375" customWidth="1"/>
    <col min="5383" max="5383" width="13.33203125" customWidth="1"/>
    <col min="5384" max="5384" width="14.5546875" customWidth="1"/>
    <col min="5385" max="5385" width="9.33203125" customWidth="1"/>
    <col min="5386" max="5386" width="12" customWidth="1"/>
    <col min="5387" max="5387" width="41.44140625" bestFit="1" customWidth="1"/>
    <col min="5637" max="5637" width="51.6640625" customWidth="1"/>
    <col min="5638" max="5638" width="11.109375" customWidth="1"/>
    <col min="5639" max="5639" width="13.33203125" customWidth="1"/>
    <col min="5640" max="5640" width="14.5546875" customWidth="1"/>
    <col min="5641" max="5641" width="9.33203125" customWidth="1"/>
    <col min="5642" max="5642" width="12" customWidth="1"/>
    <col min="5643" max="5643" width="41.44140625" bestFit="1" customWidth="1"/>
    <col min="5893" max="5893" width="51.6640625" customWidth="1"/>
    <col min="5894" max="5894" width="11.109375" customWidth="1"/>
    <col min="5895" max="5895" width="13.33203125" customWidth="1"/>
    <col min="5896" max="5896" width="14.5546875" customWidth="1"/>
    <col min="5897" max="5897" width="9.33203125" customWidth="1"/>
    <col min="5898" max="5898" width="12" customWidth="1"/>
    <col min="5899" max="5899" width="41.44140625" bestFit="1" customWidth="1"/>
    <col min="6149" max="6149" width="51.6640625" customWidth="1"/>
    <col min="6150" max="6150" width="11.109375" customWidth="1"/>
    <col min="6151" max="6151" width="13.33203125" customWidth="1"/>
    <col min="6152" max="6152" width="14.5546875" customWidth="1"/>
    <col min="6153" max="6153" width="9.33203125" customWidth="1"/>
    <col min="6154" max="6154" width="12" customWidth="1"/>
    <col min="6155" max="6155" width="41.44140625" bestFit="1" customWidth="1"/>
    <col min="6405" max="6405" width="51.6640625" customWidth="1"/>
    <col min="6406" max="6406" width="11.109375" customWidth="1"/>
    <col min="6407" max="6407" width="13.33203125" customWidth="1"/>
    <col min="6408" max="6408" width="14.5546875" customWidth="1"/>
    <col min="6409" max="6409" width="9.33203125" customWidth="1"/>
    <col min="6410" max="6410" width="12" customWidth="1"/>
    <col min="6411" max="6411" width="41.44140625" bestFit="1" customWidth="1"/>
    <col min="6661" max="6661" width="51.6640625" customWidth="1"/>
    <col min="6662" max="6662" width="11.109375" customWidth="1"/>
    <col min="6663" max="6663" width="13.33203125" customWidth="1"/>
    <col min="6664" max="6664" width="14.5546875" customWidth="1"/>
    <col min="6665" max="6665" width="9.33203125" customWidth="1"/>
    <col min="6666" max="6666" width="12" customWidth="1"/>
    <col min="6667" max="6667" width="41.44140625" bestFit="1" customWidth="1"/>
    <col min="6917" max="6917" width="51.6640625" customWidth="1"/>
    <col min="6918" max="6918" width="11.109375" customWidth="1"/>
    <col min="6919" max="6919" width="13.33203125" customWidth="1"/>
    <col min="6920" max="6920" width="14.5546875" customWidth="1"/>
    <col min="6921" max="6921" width="9.33203125" customWidth="1"/>
    <col min="6922" max="6922" width="12" customWidth="1"/>
    <col min="6923" max="6923" width="41.44140625" bestFit="1" customWidth="1"/>
    <col min="7173" max="7173" width="51.6640625" customWidth="1"/>
    <col min="7174" max="7174" width="11.109375" customWidth="1"/>
    <col min="7175" max="7175" width="13.33203125" customWidth="1"/>
    <col min="7176" max="7176" width="14.5546875" customWidth="1"/>
    <col min="7177" max="7177" width="9.33203125" customWidth="1"/>
    <col min="7178" max="7178" width="12" customWidth="1"/>
    <col min="7179" max="7179" width="41.44140625" bestFit="1" customWidth="1"/>
    <col min="7429" max="7429" width="51.6640625" customWidth="1"/>
    <col min="7430" max="7430" width="11.109375" customWidth="1"/>
    <col min="7431" max="7431" width="13.33203125" customWidth="1"/>
    <col min="7432" max="7432" width="14.5546875" customWidth="1"/>
    <col min="7433" max="7433" width="9.33203125" customWidth="1"/>
    <col min="7434" max="7434" width="12" customWidth="1"/>
    <col min="7435" max="7435" width="41.44140625" bestFit="1" customWidth="1"/>
    <col min="7685" max="7685" width="51.6640625" customWidth="1"/>
    <col min="7686" max="7686" width="11.109375" customWidth="1"/>
    <col min="7687" max="7687" width="13.33203125" customWidth="1"/>
    <col min="7688" max="7688" width="14.5546875" customWidth="1"/>
    <col min="7689" max="7689" width="9.33203125" customWidth="1"/>
    <col min="7690" max="7690" width="12" customWidth="1"/>
    <col min="7691" max="7691" width="41.44140625" bestFit="1" customWidth="1"/>
    <col min="7941" max="7941" width="51.6640625" customWidth="1"/>
    <col min="7942" max="7942" width="11.109375" customWidth="1"/>
    <col min="7943" max="7943" width="13.33203125" customWidth="1"/>
    <col min="7944" max="7944" width="14.5546875" customWidth="1"/>
    <col min="7945" max="7945" width="9.33203125" customWidth="1"/>
    <col min="7946" max="7946" width="12" customWidth="1"/>
    <col min="7947" max="7947" width="41.44140625" bestFit="1" customWidth="1"/>
    <col min="8197" max="8197" width="51.6640625" customWidth="1"/>
    <col min="8198" max="8198" width="11.109375" customWidth="1"/>
    <col min="8199" max="8199" width="13.33203125" customWidth="1"/>
    <col min="8200" max="8200" width="14.5546875" customWidth="1"/>
    <col min="8201" max="8201" width="9.33203125" customWidth="1"/>
    <col min="8202" max="8202" width="12" customWidth="1"/>
    <col min="8203" max="8203" width="41.44140625" bestFit="1" customWidth="1"/>
    <col min="8453" max="8453" width="51.6640625" customWidth="1"/>
    <col min="8454" max="8454" width="11.109375" customWidth="1"/>
    <col min="8455" max="8455" width="13.33203125" customWidth="1"/>
    <col min="8456" max="8456" width="14.5546875" customWidth="1"/>
    <col min="8457" max="8457" width="9.33203125" customWidth="1"/>
    <col min="8458" max="8458" width="12" customWidth="1"/>
    <col min="8459" max="8459" width="41.44140625" bestFit="1" customWidth="1"/>
    <col min="8709" max="8709" width="51.6640625" customWidth="1"/>
    <col min="8710" max="8710" width="11.109375" customWidth="1"/>
    <col min="8711" max="8711" width="13.33203125" customWidth="1"/>
    <col min="8712" max="8712" width="14.5546875" customWidth="1"/>
    <col min="8713" max="8713" width="9.33203125" customWidth="1"/>
    <col min="8714" max="8714" width="12" customWidth="1"/>
    <col min="8715" max="8715" width="41.44140625" bestFit="1" customWidth="1"/>
    <col min="8965" max="8965" width="51.6640625" customWidth="1"/>
    <col min="8966" max="8966" width="11.109375" customWidth="1"/>
    <col min="8967" max="8967" width="13.33203125" customWidth="1"/>
    <col min="8968" max="8968" width="14.5546875" customWidth="1"/>
    <col min="8969" max="8969" width="9.33203125" customWidth="1"/>
    <col min="8970" max="8970" width="12" customWidth="1"/>
    <col min="8971" max="8971" width="41.44140625" bestFit="1" customWidth="1"/>
    <col min="9221" max="9221" width="51.6640625" customWidth="1"/>
    <col min="9222" max="9222" width="11.109375" customWidth="1"/>
    <col min="9223" max="9223" width="13.33203125" customWidth="1"/>
    <col min="9224" max="9224" width="14.5546875" customWidth="1"/>
    <col min="9225" max="9225" width="9.33203125" customWidth="1"/>
    <col min="9226" max="9226" width="12" customWidth="1"/>
    <col min="9227" max="9227" width="41.44140625" bestFit="1" customWidth="1"/>
    <col min="9477" max="9477" width="51.6640625" customWidth="1"/>
    <col min="9478" max="9478" width="11.109375" customWidth="1"/>
    <col min="9479" max="9479" width="13.33203125" customWidth="1"/>
    <col min="9480" max="9480" width="14.5546875" customWidth="1"/>
    <col min="9481" max="9481" width="9.33203125" customWidth="1"/>
    <col min="9482" max="9482" width="12" customWidth="1"/>
    <col min="9483" max="9483" width="41.44140625" bestFit="1" customWidth="1"/>
    <col min="9733" max="9733" width="51.6640625" customWidth="1"/>
    <col min="9734" max="9734" width="11.109375" customWidth="1"/>
    <col min="9735" max="9735" width="13.33203125" customWidth="1"/>
    <col min="9736" max="9736" width="14.5546875" customWidth="1"/>
    <col min="9737" max="9737" width="9.33203125" customWidth="1"/>
    <col min="9738" max="9738" width="12" customWidth="1"/>
    <col min="9739" max="9739" width="41.44140625" bestFit="1" customWidth="1"/>
    <col min="9989" max="9989" width="51.6640625" customWidth="1"/>
    <col min="9990" max="9990" width="11.109375" customWidth="1"/>
    <col min="9991" max="9991" width="13.33203125" customWidth="1"/>
    <col min="9992" max="9992" width="14.5546875" customWidth="1"/>
    <col min="9993" max="9993" width="9.33203125" customWidth="1"/>
    <col min="9994" max="9994" width="12" customWidth="1"/>
    <col min="9995" max="9995" width="41.44140625" bestFit="1" customWidth="1"/>
    <col min="10245" max="10245" width="51.6640625" customWidth="1"/>
    <col min="10246" max="10246" width="11.109375" customWidth="1"/>
    <col min="10247" max="10247" width="13.33203125" customWidth="1"/>
    <col min="10248" max="10248" width="14.5546875" customWidth="1"/>
    <col min="10249" max="10249" width="9.33203125" customWidth="1"/>
    <col min="10250" max="10250" width="12" customWidth="1"/>
    <col min="10251" max="10251" width="41.44140625" bestFit="1" customWidth="1"/>
    <col min="10501" max="10501" width="51.6640625" customWidth="1"/>
    <col min="10502" max="10502" width="11.109375" customWidth="1"/>
    <col min="10503" max="10503" width="13.33203125" customWidth="1"/>
    <col min="10504" max="10504" width="14.5546875" customWidth="1"/>
    <col min="10505" max="10505" width="9.33203125" customWidth="1"/>
    <col min="10506" max="10506" width="12" customWidth="1"/>
    <col min="10507" max="10507" width="41.44140625" bestFit="1" customWidth="1"/>
    <col min="10757" max="10757" width="51.6640625" customWidth="1"/>
    <col min="10758" max="10758" width="11.109375" customWidth="1"/>
    <col min="10759" max="10759" width="13.33203125" customWidth="1"/>
    <col min="10760" max="10760" width="14.5546875" customWidth="1"/>
    <col min="10761" max="10761" width="9.33203125" customWidth="1"/>
    <col min="10762" max="10762" width="12" customWidth="1"/>
    <col min="10763" max="10763" width="41.44140625" bestFit="1" customWidth="1"/>
    <col min="11013" max="11013" width="51.6640625" customWidth="1"/>
    <col min="11014" max="11014" width="11.109375" customWidth="1"/>
    <col min="11015" max="11015" width="13.33203125" customWidth="1"/>
    <col min="11016" max="11016" width="14.5546875" customWidth="1"/>
    <col min="11017" max="11017" width="9.33203125" customWidth="1"/>
    <col min="11018" max="11018" width="12" customWidth="1"/>
    <col min="11019" max="11019" width="41.44140625" bestFit="1" customWidth="1"/>
    <col min="11269" max="11269" width="51.6640625" customWidth="1"/>
    <col min="11270" max="11270" width="11.109375" customWidth="1"/>
    <col min="11271" max="11271" width="13.33203125" customWidth="1"/>
    <col min="11272" max="11272" width="14.5546875" customWidth="1"/>
    <col min="11273" max="11273" width="9.33203125" customWidth="1"/>
    <col min="11274" max="11274" width="12" customWidth="1"/>
    <col min="11275" max="11275" width="41.44140625" bestFit="1" customWidth="1"/>
    <col min="11525" max="11525" width="51.6640625" customWidth="1"/>
    <col min="11526" max="11526" width="11.109375" customWidth="1"/>
    <col min="11527" max="11527" width="13.33203125" customWidth="1"/>
    <col min="11528" max="11528" width="14.5546875" customWidth="1"/>
    <col min="11529" max="11529" width="9.33203125" customWidth="1"/>
    <col min="11530" max="11530" width="12" customWidth="1"/>
    <col min="11531" max="11531" width="41.44140625" bestFit="1" customWidth="1"/>
    <col min="11781" max="11781" width="51.6640625" customWidth="1"/>
    <col min="11782" max="11782" width="11.109375" customWidth="1"/>
    <col min="11783" max="11783" width="13.33203125" customWidth="1"/>
    <col min="11784" max="11784" width="14.5546875" customWidth="1"/>
    <col min="11785" max="11785" width="9.33203125" customWidth="1"/>
    <col min="11786" max="11786" width="12" customWidth="1"/>
    <col min="11787" max="11787" width="41.44140625" bestFit="1" customWidth="1"/>
    <col min="12037" max="12037" width="51.6640625" customWidth="1"/>
    <col min="12038" max="12038" width="11.109375" customWidth="1"/>
    <col min="12039" max="12039" width="13.33203125" customWidth="1"/>
    <col min="12040" max="12040" width="14.5546875" customWidth="1"/>
    <col min="12041" max="12041" width="9.33203125" customWidth="1"/>
    <col min="12042" max="12042" width="12" customWidth="1"/>
    <col min="12043" max="12043" width="41.44140625" bestFit="1" customWidth="1"/>
    <col min="12293" max="12293" width="51.6640625" customWidth="1"/>
    <col min="12294" max="12294" width="11.109375" customWidth="1"/>
    <col min="12295" max="12295" width="13.33203125" customWidth="1"/>
    <col min="12296" max="12296" width="14.5546875" customWidth="1"/>
    <col min="12297" max="12297" width="9.33203125" customWidth="1"/>
    <col min="12298" max="12298" width="12" customWidth="1"/>
    <col min="12299" max="12299" width="41.44140625" bestFit="1" customWidth="1"/>
    <col min="12549" max="12549" width="51.6640625" customWidth="1"/>
    <col min="12550" max="12550" width="11.109375" customWidth="1"/>
    <col min="12551" max="12551" width="13.33203125" customWidth="1"/>
    <col min="12552" max="12552" width="14.5546875" customWidth="1"/>
    <col min="12553" max="12553" width="9.33203125" customWidth="1"/>
    <col min="12554" max="12554" width="12" customWidth="1"/>
    <col min="12555" max="12555" width="41.44140625" bestFit="1" customWidth="1"/>
    <col min="12805" max="12805" width="51.6640625" customWidth="1"/>
    <col min="12806" max="12806" width="11.109375" customWidth="1"/>
    <col min="12807" max="12807" width="13.33203125" customWidth="1"/>
    <col min="12808" max="12808" width="14.5546875" customWidth="1"/>
    <col min="12809" max="12809" width="9.33203125" customWidth="1"/>
    <col min="12810" max="12810" width="12" customWidth="1"/>
    <col min="12811" max="12811" width="41.44140625" bestFit="1" customWidth="1"/>
    <col min="13061" max="13061" width="51.6640625" customWidth="1"/>
    <col min="13062" max="13062" width="11.109375" customWidth="1"/>
    <col min="13063" max="13063" width="13.33203125" customWidth="1"/>
    <col min="13064" max="13064" width="14.5546875" customWidth="1"/>
    <col min="13065" max="13065" width="9.33203125" customWidth="1"/>
    <col min="13066" max="13066" width="12" customWidth="1"/>
    <col min="13067" max="13067" width="41.44140625" bestFit="1" customWidth="1"/>
    <col min="13317" max="13317" width="51.6640625" customWidth="1"/>
    <col min="13318" max="13318" width="11.109375" customWidth="1"/>
    <col min="13319" max="13319" width="13.33203125" customWidth="1"/>
    <col min="13320" max="13320" width="14.5546875" customWidth="1"/>
    <col min="13321" max="13321" width="9.33203125" customWidth="1"/>
    <col min="13322" max="13322" width="12" customWidth="1"/>
    <col min="13323" max="13323" width="41.44140625" bestFit="1" customWidth="1"/>
    <col min="13573" max="13573" width="51.6640625" customWidth="1"/>
    <col min="13574" max="13574" width="11.109375" customWidth="1"/>
    <col min="13575" max="13575" width="13.33203125" customWidth="1"/>
    <col min="13576" max="13576" width="14.5546875" customWidth="1"/>
    <col min="13577" max="13577" width="9.33203125" customWidth="1"/>
    <col min="13578" max="13578" width="12" customWidth="1"/>
    <col min="13579" max="13579" width="41.44140625" bestFit="1" customWidth="1"/>
    <col min="13829" max="13829" width="51.6640625" customWidth="1"/>
    <col min="13830" max="13830" width="11.109375" customWidth="1"/>
    <col min="13831" max="13831" width="13.33203125" customWidth="1"/>
    <col min="13832" max="13832" width="14.5546875" customWidth="1"/>
    <col min="13833" max="13833" width="9.33203125" customWidth="1"/>
    <col min="13834" max="13834" width="12" customWidth="1"/>
    <col min="13835" max="13835" width="41.44140625" bestFit="1" customWidth="1"/>
    <col min="14085" max="14085" width="51.6640625" customWidth="1"/>
    <col min="14086" max="14086" width="11.109375" customWidth="1"/>
    <col min="14087" max="14087" width="13.33203125" customWidth="1"/>
    <col min="14088" max="14088" width="14.5546875" customWidth="1"/>
    <col min="14089" max="14089" width="9.33203125" customWidth="1"/>
    <col min="14090" max="14090" width="12" customWidth="1"/>
    <col min="14091" max="14091" width="41.44140625" bestFit="1" customWidth="1"/>
    <col min="14341" max="14341" width="51.6640625" customWidth="1"/>
    <col min="14342" max="14342" width="11.109375" customWidth="1"/>
    <col min="14343" max="14343" width="13.33203125" customWidth="1"/>
    <col min="14344" max="14344" width="14.5546875" customWidth="1"/>
    <col min="14345" max="14345" width="9.33203125" customWidth="1"/>
    <col min="14346" max="14346" width="12" customWidth="1"/>
    <col min="14347" max="14347" width="41.44140625" bestFit="1" customWidth="1"/>
    <col min="14597" max="14597" width="51.6640625" customWidth="1"/>
    <col min="14598" max="14598" width="11.109375" customWidth="1"/>
    <col min="14599" max="14599" width="13.33203125" customWidth="1"/>
    <col min="14600" max="14600" width="14.5546875" customWidth="1"/>
    <col min="14601" max="14601" width="9.33203125" customWidth="1"/>
    <col min="14602" max="14602" width="12" customWidth="1"/>
    <col min="14603" max="14603" width="41.44140625" bestFit="1" customWidth="1"/>
    <col min="14853" max="14853" width="51.6640625" customWidth="1"/>
    <col min="14854" max="14854" width="11.109375" customWidth="1"/>
    <col min="14855" max="14855" width="13.33203125" customWidth="1"/>
    <col min="14856" max="14856" width="14.5546875" customWidth="1"/>
    <col min="14857" max="14857" width="9.33203125" customWidth="1"/>
    <col min="14858" max="14858" width="12" customWidth="1"/>
    <col min="14859" max="14859" width="41.44140625" bestFit="1" customWidth="1"/>
    <col min="15109" max="15109" width="51.6640625" customWidth="1"/>
    <col min="15110" max="15110" width="11.109375" customWidth="1"/>
    <col min="15111" max="15111" width="13.33203125" customWidth="1"/>
    <col min="15112" max="15112" width="14.5546875" customWidth="1"/>
    <col min="15113" max="15113" width="9.33203125" customWidth="1"/>
    <col min="15114" max="15114" width="12" customWidth="1"/>
    <col min="15115" max="15115" width="41.44140625" bestFit="1" customWidth="1"/>
    <col min="15365" max="15365" width="51.6640625" customWidth="1"/>
    <col min="15366" max="15366" width="11.109375" customWidth="1"/>
    <col min="15367" max="15367" width="13.33203125" customWidth="1"/>
    <col min="15368" max="15368" width="14.5546875" customWidth="1"/>
    <col min="15369" max="15369" width="9.33203125" customWidth="1"/>
    <col min="15370" max="15370" width="12" customWidth="1"/>
    <col min="15371" max="15371" width="41.44140625" bestFit="1" customWidth="1"/>
    <col min="15621" max="15621" width="51.6640625" customWidth="1"/>
    <col min="15622" max="15622" width="11.109375" customWidth="1"/>
    <col min="15623" max="15623" width="13.33203125" customWidth="1"/>
    <col min="15624" max="15624" width="14.5546875" customWidth="1"/>
    <col min="15625" max="15625" width="9.33203125" customWidth="1"/>
    <col min="15626" max="15626" width="12" customWidth="1"/>
    <col min="15627" max="15627" width="41.44140625" bestFit="1" customWidth="1"/>
    <col min="15877" max="15877" width="51.6640625" customWidth="1"/>
    <col min="15878" max="15878" width="11.109375" customWidth="1"/>
    <col min="15879" max="15879" width="13.33203125" customWidth="1"/>
    <col min="15880" max="15880" width="14.5546875" customWidth="1"/>
    <col min="15881" max="15881" width="9.33203125" customWidth="1"/>
    <col min="15882" max="15882" width="12" customWidth="1"/>
    <col min="15883" max="15883" width="41.44140625" bestFit="1" customWidth="1"/>
    <col min="16133" max="16133" width="51.6640625" customWidth="1"/>
    <col min="16134" max="16134" width="11.109375" customWidth="1"/>
    <col min="16135" max="16135" width="13.33203125" customWidth="1"/>
    <col min="16136" max="16136" width="14.5546875" customWidth="1"/>
    <col min="16137" max="16137" width="9.33203125" customWidth="1"/>
    <col min="16138" max="16138" width="12" customWidth="1"/>
    <col min="16139" max="16139" width="41.44140625" bestFit="1" customWidth="1"/>
  </cols>
  <sheetData>
    <row r="1" spans="1:19" ht="34.799999999999997">
      <c r="A1" s="166" t="s">
        <v>0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</row>
    <row r="2" spans="1:19" ht="23.4">
      <c r="A2" s="167"/>
      <c r="B2" s="167"/>
      <c r="C2" s="167"/>
      <c r="D2" s="167"/>
      <c r="E2" s="167"/>
      <c r="F2" s="167"/>
      <c r="G2" s="167"/>
      <c r="H2" s="167"/>
      <c r="I2" s="167"/>
      <c r="J2" s="167"/>
      <c r="K2" s="167"/>
    </row>
    <row r="3" spans="1:19" ht="34.799999999999997">
      <c r="A3" s="168" t="s">
        <v>232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M3" s="39"/>
      <c r="N3" s="39"/>
      <c r="O3" s="39"/>
      <c r="P3" s="39"/>
      <c r="Q3" s="39"/>
      <c r="R3" s="39"/>
      <c r="S3" s="39"/>
    </row>
    <row r="4" spans="1:19" ht="26.4">
      <c r="A4" s="43" t="s">
        <v>109</v>
      </c>
      <c r="B4" s="70"/>
      <c r="C4" s="43"/>
      <c r="D4" s="1"/>
      <c r="E4" s="1"/>
      <c r="F4" s="1"/>
      <c r="G4" s="1"/>
      <c r="H4" s="2"/>
      <c r="I4" s="2"/>
      <c r="J4" s="2"/>
      <c r="K4" s="2"/>
    </row>
    <row r="5" spans="1:19" ht="23.4">
      <c r="A5" s="1" t="s">
        <v>18</v>
      </c>
      <c r="B5" s="70"/>
      <c r="C5" s="1"/>
      <c r="D5" s="105" t="s">
        <v>20</v>
      </c>
      <c r="E5" s="3" t="s">
        <v>231</v>
      </c>
      <c r="F5" s="3"/>
      <c r="G5" s="3"/>
      <c r="H5" s="2"/>
      <c r="I5" s="2"/>
      <c r="J5" s="2"/>
      <c r="K5" s="2"/>
    </row>
    <row r="6" spans="1:19" ht="23.4">
      <c r="A6" s="1" t="s">
        <v>23</v>
      </c>
      <c r="B6" s="70"/>
      <c r="C6" s="1"/>
      <c r="D6" s="41">
        <v>2.8</v>
      </c>
      <c r="E6" s="3" t="s">
        <v>89</v>
      </c>
      <c r="F6" s="3"/>
      <c r="G6" s="3"/>
      <c r="H6" s="2"/>
      <c r="I6" s="2"/>
      <c r="J6" s="2"/>
      <c r="K6" s="2"/>
    </row>
    <row r="7" spans="1:19" ht="23.4">
      <c r="A7" s="1" t="s">
        <v>24</v>
      </c>
      <c r="B7" s="70"/>
      <c r="C7" s="1"/>
      <c r="D7" s="76">
        <v>10</v>
      </c>
      <c r="E7" s="3" t="s">
        <v>89</v>
      </c>
      <c r="F7" s="145"/>
      <c r="G7" s="3"/>
      <c r="H7" s="2"/>
      <c r="I7" s="2"/>
      <c r="J7" s="2"/>
      <c r="K7" s="2"/>
    </row>
    <row r="8" spans="1:19" ht="23.4">
      <c r="A8" s="1" t="s">
        <v>91</v>
      </c>
      <c r="B8" s="70"/>
      <c r="C8" s="1"/>
      <c r="D8" s="41">
        <v>400</v>
      </c>
      <c r="E8" s="3" t="s">
        <v>22</v>
      </c>
      <c r="F8" s="3"/>
      <c r="G8" s="3"/>
      <c r="H8" s="2"/>
      <c r="I8" s="2"/>
      <c r="J8" s="2"/>
      <c r="K8" s="2"/>
    </row>
    <row r="9" spans="1:19" ht="23.4">
      <c r="A9" s="1" t="s">
        <v>138</v>
      </c>
      <c r="B9" s="70"/>
      <c r="C9" s="1"/>
      <c r="D9" s="63">
        <v>0.05</v>
      </c>
      <c r="E9" s="3"/>
      <c r="F9" s="3"/>
      <c r="G9" s="3"/>
      <c r="H9" s="2"/>
      <c r="I9" s="2"/>
      <c r="J9" s="2"/>
      <c r="K9" s="2"/>
    </row>
    <row r="10" spans="1:19" ht="21" thickBot="1">
      <c r="A10" s="1"/>
      <c r="B10" s="70"/>
      <c r="C10" s="1"/>
      <c r="D10" s="1"/>
      <c r="E10" s="3"/>
      <c r="F10" s="3"/>
      <c r="G10" s="3"/>
      <c r="H10" s="4"/>
      <c r="I10" s="4"/>
      <c r="J10" s="5"/>
      <c r="K10" s="6" t="s">
        <v>249</v>
      </c>
    </row>
    <row r="11" spans="1:19" ht="21" thickBot="1">
      <c r="A11" s="169" t="s">
        <v>1</v>
      </c>
      <c r="B11" s="170"/>
      <c r="C11" s="171"/>
      <c r="D11" s="8" t="s">
        <v>2</v>
      </c>
      <c r="E11" s="8" t="s">
        <v>3</v>
      </c>
      <c r="F11" s="8" t="s">
        <v>146</v>
      </c>
      <c r="G11" s="7" t="s">
        <v>83</v>
      </c>
      <c r="H11" s="8" t="s">
        <v>4</v>
      </c>
      <c r="I11" s="7" t="s">
        <v>5</v>
      </c>
      <c r="J11" s="7" t="s">
        <v>6</v>
      </c>
      <c r="K11" s="7" t="s">
        <v>7</v>
      </c>
    </row>
    <row r="12" spans="1:19" ht="22.2" customHeight="1">
      <c r="A12" s="106" t="str">
        <f>IFERROR(VLOOKUP($C12,Data!$A$4:$N$11,14,),"")</f>
        <v>520010010000003</v>
      </c>
      <c r="B12" s="107" t="s">
        <v>32</v>
      </c>
      <c r="C12" s="107" t="s">
        <v>30</v>
      </c>
      <c r="D12" s="108" t="s">
        <v>8</v>
      </c>
      <c r="E12" s="109">
        <f>IFERROR(VLOOKUP($C12,Data!$A$4:$I$11,7,),0)</f>
        <v>24.5</v>
      </c>
      <c r="F12" s="109">
        <f>E12/($D$6*$D$7)</f>
        <v>0.875</v>
      </c>
      <c r="G12" s="109">
        <f>IFERROR(VLOOKUP($C12,Data!$A$4:$I$11,8,),0)</f>
        <v>42.384999999999998</v>
      </c>
      <c r="H12" s="109">
        <f>IFERROR(VLOOKUP($C12,Data!$A$4:$I$11,6,),0)</f>
        <v>145</v>
      </c>
      <c r="I12" s="110"/>
      <c r="J12" s="111">
        <f t="shared" ref="J12:J26" si="0">+(H12-(H12*I12))*E12</f>
        <v>3552.5</v>
      </c>
      <c r="K12" s="172" t="s">
        <v>224</v>
      </c>
      <c r="M12" s="116" t="s">
        <v>225</v>
      </c>
      <c r="N12" s="115"/>
      <c r="O12" s="59"/>
    </row>
    <row r="13" spans="1:19" ht="22.2" customHeight="1">
      <c r="A13" s="112" t="str">
        <f>IFERROR(VLOOKUP($C13,Data!$A$20:$N$27,14,),"")</f>
        <v>520010020000003</v>
      </c>
      <c r="B13" s="113" t="s">
        <v>34</v>
      </c>
      <c r="C13" s="113" t="s">
        <v>38</v>
      </c>
      <c r="D13" s="108" t="s">
        <v>8</v>
      </c>
      <c r="E13" s="109">
        <f>IFERROR(VLOOKUP($C13,Data!$A$20:$I$27,7,),0)+IFERROR(VLOOKUP($C13,Data!$A$20:$I$27,7,),0)</f>
        <v>7</v>
      </c>
      <c r="F13" s="109">
        <f t="shared" ref="F13:F26" si="1">E13/($D$6*$D$7)</f>
        <v>0.25</v>
      </c>
      <c r="G13" s="109">
        <f>IFERROR(VLOOKUP($C13,Data!$A$20:$I$27,8,),0)</f>
        <v>5.6000000000000005</v>
      </c>
      <c r="H13" s="109">
        <f>IFERROR(VLOOKUP($C13,Data!$A$20:$I$27,6,),0)</f>
        <v>130</v>
      </c>
      <c r="I13" s="110"/>
      <c r="J13" s="111">
        <f t="shared" si="0"/>
        <v>910</v>
      </c>
      <c r="K13" s="173"/>
      <c r="M13" s="65" t="s">
        <v>220</v>
      </c>
      <c r="N13" s="65" t="s">
        <v>226</v>
      </c>
      <c r="O13" s="59"/>
    </row>
    <row r="14" spans="1:19" ht="22.2" customHeight="1">
      <c r="A14" s="112" t="str">
        <f>IFERROR(VLOOKUP($C14,Data!$A$20:$N$27,14,),"")</f>
        <v>520010020000003</v>
      </c>
      <c r="B14" s="114" t="s">
        <v>35</v>
      </c>
      <c r="C14" s="114" t="s">
        <v>38</v>
      </c>
      <c r="D14" s="108" t="s">
        <v>8</v>
      </c>
      <c r="E14" s="109">
        <f>IFERROR(VLOOKUP($C14,Data!$A$20:$I$27,7,),0)</f>
        <v>3.5</v>
      </c>
      <c r="F14" s="109">
        <f t="shared" si="1"/>
        <v>0.125</v>
      </c>
      <c r="G14" s="109">
        <f>IFERROR(VLOOKUP($C14,Data!$A$20:$I$27,8,),0)</f>
        <v>5.6000000000000005</v>
      </c>
      <c r="H14" s="109">
        <f>IFERROR(VLOOKUP($C14,Data!$A$20:$I$27,6,),0)</f>
        <v>130</v>
      </c>
      <c r="I14" s="110"/>
      <c r="J14" s="111">
        <f t="shared" si="0"/>
        <v>455</v>
      </c>
      <c r="K14" s="173"/>
      <c r="M14" s="65" t="s">
        <v>221</v>
      </c>
      <c r="N14" s="65" t="s">
        <v>227</v>
      </c>
      <c r="O14" s="59"/>
      <c r="P14" s="59"/>
    </row>
    <row r="15" spans="1:19" ht="22.2" customHeight="1">
      <c r="A15" s="72" t="str">
        <f>IFERROR(VLOOKUP($C15,Data!$A$39:$N$68,14,),"")</f>
        <v>100180020000001</v>
      </c>
      <c r="B15" s="29" t="s">
        <v>110</v>
      </c>
      <c r="C15" s="84" t="s">
        <v>54</v>
      </c>
      <c r="D15" s="30" t="s">
        <v>9</v>
      </c>
      <c r="E15" s="31">
        <f>IFERROR(VLOOKUP($C15,Data!$A$39:$I$68,7,),0)</f>
        <v>20.419999999999998</v>
      </c>
      <c r="F15" s="31">
        <f t="shared" si="1"/>
        <v>0.7292857142857142</v>
      </c>
      <c r="G15" s="31">
        <f>IFERROR(VLOOKUP($C15,Data!$A$39:$I$68,8,),0)</f>
        <v>617.50079999999991</v>
      </c>
      <c r="H15" s="31">
        <f>IFERROR(VLOOKUP($C15,Data!$A$39:$I$68,6,),0)</f>
        <v>795</v>
      </c>
      <c r="I15" s="32"/>
      <c r="J15" s="33">
        <f t="shared" si="0"/>
        <v>16233.899999999998</v>
      </c>
      <c r="K15" s="53"/>
      <c r="M15" s="65" t="s">
        <v>222</v>
      </c>
      <c r="N15" s="65" t="s">
        <v>228</v>
      </c>
      <c r="O15" s="59"/>
      <c r="P15" s="59"/>
    </row>
    <row r="16" spans="1:19" ht="22.2" customHeight="1">
      <c r="A16" s="112" t="str">
        <f>IFERROR(VLOOKUP($C16,Data!$A$82:$N$83,14,),"")</f>
        <v>520010030000004</v>
      </c>
      <c r="B16" s="117" t="s">
        <v>58</v>
      </c>
      <c r="C16" s="117" t="s">
        <v>71</v>
      </c>
      <c r="D16" s="108" t="s">
        <v>73</v>
      </c>
      <c r="E16" s="109">
        <f>IFERROR(VLOOKUP($C16,Data!$A$82:$I$83,7,),0)</f>
        <v>1.5</v>
      </c>
      <c r="F16" s="109">
        <f t="shared" si="1"/>
        <v>5.3571428571428568E-2</v>
      </c>
      <c r="G16" s="109">
        <f>IFERROR(VLOOKUP($C16,Data!$A$82:$I$83,8,),0)</f>
        <v>0.97500000000000009</v>
      </c>
      <c r="H16" s="109">
        <f>IFERROR(VLOOKUP($C16,Data!$A$82:$I$83,6,),0)</f>
        <v>110</v>
      </c>
      <c r="I16" s="110"/>
      <c r="J16" s="111">
        <f t="shared" si="0"/>
        <v>165</v>
      </c>
      <c r="K16" s="118"/>
      <c r="M16" s="65" t="s">
        <v>223</v>
      </c>
      <c r="N16" s="65" t="s">
        <v>229</v>
      </c>
    </row>
    <row r="17" spans="1:26" ht="22.2" customHeight="1">
      <c r="A17" s="112" t="str">
        <f>IFERROR(VLOOKUP($C17,Data!$A$86:$N$88,14,),"")</f>
        <v>520080070000001</v>
      </c>
      <c r="B17" s="107" t="s">
        <v>113</v>
      </c>
      <c r="C17" s="119" t="s">
        <v>74</v>
      </c>
      <c r="D17" s="108" t="s">
        <v>9</v>
      </c>
      <c r="E17" s="109">
        <f>IFERROR(VLOOKUP($C17,Data!$A$86:$I$88,7,),0)</f>
        <v>8.75</v>
      </c>
      <c r="F17" s="109">
        <f t="shared" si="1"/>
        <v>0.3125</v>
      </c>
      <c r="G17" s="109">
        <f>IFERROR(VLOOKUP($C17,Data!$A$86:$I$88,8,),0)</f>
        <v>8.7500000000000008E-2</v>
      </c>
      <c r="H17" s="109">
        <f>IFERROR(VLOOKUP($C17,Data!$A$86:$I$88,6,),0)</f>
        <v>2</v>
      </c>
      <c r="I17" s="110"/>
      <c r="J17" s="111">
        <f t="shared" si="0"/>
        <v>17.5</v>
      </c>
      <c r="K17" s="118"/>
    </row>
    <row r="18" spans="1:26" ht="22.2" customHeight="1">
      <c r="A18" s="112" t="str">
        <f>IFERROR(VLOOKUP($C18,Data!$A$86:$N$88,14,),"")</f>
        <v>520080070000001</v>
      </c>
      <c r="B18" s="107" t="s">
        <v>114</v>
      </c>
      <c r="C18" s="119" t="s">
        <v>74</v>
      </c>
      <c r="D18" s="108" t="s">
        <v>9</v>
      </c>
      <c r="E18" s="109">
        <f>IFERROR(VLOOKUP($C18,Data!$A$86:$I$88,7,),0)</f>
        <v>8.75</v>
      </c>
      <c r="F18" s="109">
        <f t="shared" si="1"/>
        <v>0.3125</v>
      </c>
      <c r="G18" s="109">
        <f>IFERROR(VLOOKUP($C18,Data!$A$86:$I$88,8,),0)</f>
        <v>8.7500000000000008E-2</v>
      </c>
      <c r="H18" s="109">
        <f>IFERROR(VLOOKUP($C18,Data!$A$86:$I$88,6,),0)</f>
        <v>2</v>
      </c>
      <c r="I18" s="110"/>
      <c r="J18" s="111">
        <f t="shared" si="0"/>
        <v>17.5</v>
      </c>
      <c r="K18" s="118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</row>
    <row r="19" spans="1:26" ht="45" customHeight="1">
      <c r="A19" s="72" t="str">
        <f>IFERROR(VLOOKUP($C19,Data!$A$91:$N$95,14,),"")</f>
        <v>520080080000001</v>
      </c>
      <c r="B19" s="149" t="s">
        <v>250</v>
      </c>
      <c r="C19" s="44" t="s">
        <v>76</v>
      </c>
      <c r="D19" s="36" t="s">
        <v>99</v>
      </c>
      <c r="E19" s="31">
        <f>IFERROR(VLOOKUP($C19,Data!$A$91:$I$96,7,),0)</f>
        <v>1.46</v>
      </c>
      <c r="F19" s="31">
        <f t="shared" si="1"/>
        <v>5.2142857142857144E-2</v>
      </c>
      <c r="G19" s="31">
        <f>IFERROR(VLOOKUP($C19,Data!$A$91:$I$96,8,),0)</f>
        <v>1.46</v>
      </c>
      <c r="H19" s="31">
        <f>IFERROR(VLOOKUP($C19,Data!$A$91:$I$96,6,),0)</f>
        <v>95</v>
      </c>
      <c r="I19" s="32"/>
      <c r="J19" s="33">
        <f t="shared" si="0"/>
        <v>138.69999999999999</v>
      </c>
      <c r="K19" s="159" t="s">
        <v>233</v>
      </c>
      <c r="M19" s="126" t="s">
        <v>234</v>
      </c>
      <c r="N19" s="127"/>
      <c r="O19" s="128"/>
      <c r="P19" s="128"/>
      <c r="Q19" s="128"/>
      <c r="R19" s="129"/>
    </row>
    <row r="20" spans="1:26" ht="22.2" customHeight="1">
      <c r="A20" s="112" t="str">
        <f>IFERROR(VLOOKUP($C20,Data!$A$105:$N$106,14,),"")</f>
        <v>520080080000004</v>
      </c>
      <c r="B20" s="117" t="s">
        <v>62</v>
      </c>
      <c r="C20" s="120" t="s">
        <v>82</v>
      </c>
      <c r="D20" s="121" t="s">
        <v>99</v>
      </c>
      <c r="E20" s="109">
        <f>IFERROR(VLOOKUP($C20,Data!$A$105:$I$106,7,),0)</f>
        <v>0.26</v>
      </c>
      <c r="F20" s="109">
        <f t="shared" si="1"/>
        <v>9.285714285714286E-3</v>
      </c>
      <c r="G20" s="109">
        <f>IFERROR(VLOOKUP($C20,Data!$A$105:$I$106,8,),0)</f>
        <v>0.26</v>
      </c>
      <c r="H20" s="109">
        <f>IFERROR(VLOOKUP($C20,Data!$A$105:$I$106,6,),0)</f>
        <v>320</v>
      </c>
      <c r="I20" s="110"/>
      <c r="J20" s="111">
        <f t="shared" si="0"/>
        <v>83.2</v>
      </c>
      <c r="K20" s="118"/>
      <c r="M20" s="65" t="s">
        <v>235</v>
      </c>
      <c r="N20" s="65" t="s">
        <v>236</v>
      </c>
      <c r="O20" s="130" t="s">
        <v>237</v>
      </c>
      <c r="P20" s="130" t="s">
        <v>238</v>
      </c>
      <c r="Q20" s="104" t="s">
        <v>239</v>
      </c>
      <c r="R20" s="104" t="s">
        <v>240</v>
      </c>
    </row>
    <row r="21" spans="1:26" ht="22.2" customHeight="1">
      <c r="A21" s="112" t="str">
        <f>IFERROR(VLOOKUP($C21,Data!$A$109:$N$111,14,),"")</f>
        <v>410010010800001</v>
      </c>
      <c r="B21" s="122" t="s">
        <v>63</v>
      </c>
      <c r="C21" s="123" t="s">
        <v>139</v>
      </c>
      <c r="D21" s="124" t="s">
        <v>97</v>
      </c>
      <c r="E21" s="109">
        <f>IFERROR(VLOOKUP($C21,Data!$A$109:$I$111,7,),0)</f>
        <v>1.1100000000000001</v>
      </c>
      <c r="F21" s="109">
        <f t="shared" si="1"/>
        <v>3.9642857142857146E-2</v>
      </c>
      <c r="G21" s="109">
        <f>IFERROR(VLOOKUP($C21,Data!$A$109:$I$111,8,),0)</f>
        <v>22.200000000000003</v>
      </c>
      <c r="H21" s="109">
        <f>IFERROR(VLOOKUP($C21,Data!$A$109:$I$111,6,),0)</f>
        <v>190</v>
      </c>
      <c r="I21" s="110"/>
      <c r="J21" s="111">
        <f t="shared" si="0"/>
        <v>210.9</v>
      </c>
      <c r="K21" s="125" t="s">
        <v>230</v>
      </c>
      <c r="M21" s="131" t="s">
        <v>241</v>
      </c>
      <c r="N21" s="131" t="s">
        <v>53</v>
      </c>
      <c r="O21" s="104">
        <v>16</v>
      </c>
      <c r="P21" s="104">
        <f>O21+10</f>
        <v>26</v>
      </c>
      <c r="Q21" s="104">
        <v>25</v>
      </c>
      <c r="R21" s="132">
        <v>38</v>
      </c>
    </row>
    <row r="22" spans="1:26" ht="49.8" customHeight="1">
      <c r="A22" s="72" t="str">
        <f>IFERROR(VLOOKUP($C22,Data!$A$113:$N$117,14,),"")</f>
        <v>520080140000011</v>
      </c>
      <c r="B22" s="11" t="s">
        <v>93</v>
      </c>
      <c r="C22" s="46" t="s">
        <v>192</v>
      </c>
      <c r="D22" s="10" t="s">
        <v>9</v>
      </c>
      <c r="E22" s="31">
        <f>IFERROR(VLOOKUP($C22,Data!$A$113:$I$115,7,),0)</f>
        <v>3.6799999999999997</v>
      </c>
      <c r="F22" s="31">
        <f t="shared" si="1"/>
        <v>0.13142857142857142</v>
      </c>
      <c r="G22" s="31">
        <f>IFERROR(VLOOKUP($C22,Data!$A$113:$I$115,8,),0)</f>
        <v>2.2079999999999997</v>
      </c>
      <c r="H22" s="31">
        <f>IFERROR(VLOOKUP($C22,Data!$A$113:$I$115,6,),0)</f>
        <v>31.5</v>
      </c>
      <c r="I22" s="32"/>
      <c r="J22" s="33">
        <f t="shared" si="0"/>
        <v>115.91999999999999</v>
      </c>
      <c r="K22" s="147" t="s">
        <v>245</v>
      </c>
      <c r="M22" s="133" t="s">
        <v>242</v>
      </c>
      <c r="N22" s="133" t="s">
        <v>204</v>
      </c>
      <c r="O22" s="104">
        <v>16</v>
      </c>
      <c r="P22" s="104">
        <f>P21+O22</f>
        <v>42</v>
      </c>
      <c r="Q22" s="134">
        <v>38</v>
      </c>
      <c r="R22" s="150" t="s">
        <v>251</v>
      </c>
    </row>
    <row r="23" spans="1:26" ht="22.2" customHeight="1">
      <c r="A23" s="72" t="str">
        <f>IFERROR(VLOOKUP($C23,Data!$A$119:$N$120,14,),"")</f>
        <v>520088260000010</v>
      </c>
      <c r="B23" s="9" t="s">
        <v>64</v>
      </c>
      <c r="C23" s="9" t="s">
        <v>142</v>
      </c>
      <c r="D23" s="10" t="s">
        <v>9</v>
      </c>
      <c r="E23" s="31">
        <f>IFERROR(VLOOKUP($C23,Data!$A$119:$I$121,7,),0)</f>
        <v>2.4500000000000002</v>
      </c>
      <c r="F23" s="31">
        <f t="shared" si="1"/>
        <v>8.7500000000000008E-2</v>
      </c>
      <c r="G23" s="31">
        <f>IFERROR(VLOOKUP($C23,Data!$A$119:$I$121,8,),0)</f>
        <v>58.800000000000004</v>
      </c>
      <c r="H23" s="31">
        <f>IFERROR(VLOOKUP($C23,Data!$A$119:$I$121,6,),0)</f>
        <v>3140</v>
      </c>
      <c r="I23" s="32"/>
      <c r="J23" s="33">
        <f t="shared" si="0"/>
        <v>7693.0000000000009</v>
      </c>
      <c r="K23" s="53"/>
      <c r="M23" s="65"/>
      <c r="N23" s="65"/>
      <c r="O23" s="104"/>
      <c r="P23" s="104"/>
      <c r="Q23" s="104">
        <v>75</v>
      </c>
      <c r="R23" s="104"/>
    </row>
    <row r="24" spans="1:26" ht="67.2" customHeight="1">
      <c r="A24" s="77" t="str">
        <f>IFERROR(VLOOKUP($C24,Data!$A$123:$N$131,14,),"")</f>
        <v/>
      </c>
      <c r="B24" s="9" t="s">
        <v>65</v>
      </c>
      <c r="C24" s="9" t="s">
        <v>87</v>
      </c>
      <c r="D24" s="10" t="s">
        <v>9</v>
      </c>
      <c r="E24" s="31">
        <f>IFERROR(VLOOKUP($C24,Data!$A$123:$I$125,7,),0)</f>
        <v>2.52</v>
      </c>
      <c r="F24" s="31">
        <f t="shared" si="1"/>
        <v>0.09</v>
      </c>
      <c r="G24" s="31">
        <f>IFERROR(VLOOKUP($C24,Data!$A$123:$I$125,8,),0)</f>
        <v>2.4695999999999998</v>
      </c>
      <c r="H24" s="31" t="str">
        <f>IFERROR(VLOOKUP($C24,Data!$A$123:$I$125,6,),0)</f>
        <v>N/A</v>
      </c>
      <c r="I24" s="32"/>
      <c r="J24" s="33" t="str">
        <f>H24</f>
        <v>N/A</v>
      </c>
      <c r="K24" s="146" t="s">
        <v>248</v>
      </c>
      <c r="O24" s="136"/>
      <c r="P24" s="136"/>
      <c r="Q24" s="136"/>
      <c r="R24" s="136"/>
    </row>
    <row r="25" spans="1:26" ht="33.6" customHeight="1">
      <c r="A25" s="151">
        <f>IFERROR(VLOOKUP($C25,Data!$A$113:$N$117,14,),"")</f>
        <v>0</v>
      </c>
      <c r="B25" s="152" t="s">
        <v>147</v>
      </c>
      <c r="C25" s="153" t="s">
        <v>115</v>
      </c>
      <c r="D25" s="154" t="s">
        <v>116</v>
      </c>
      <c r="E25" s="155">
        <f>IFERROR(VLOOKUP($C25,Data!$A$116:$I$117,7,),0)</f>
        <v>2.1</v>
      </c>
      <c r="F25" s="155">
        <f t="shared" si="1"/>
        <v>7.4999999999999997E-2</v>
      </c>
      <c r="G25" s="155">
        <f>IFERROR(VLOOKUP($C25,Data!$A$116:$I$117,8,),0)</f>
        <v>2.1</v>
      </c>
      <c r="H25" s="155">
        <f>IFERROR(VLOOKUP($C25,Data!$A$116:$I$117,6,),0)</f>
        <v>929</v>
      </c>
      <c r="I25" s="156"/>
      <c r="J25" s="157">
        <f t="shared" si="0"/>
        <v>1950.9</v>
      </c>
      <c r="K25" s="164" t="s">
        <v>252</v>
      </c>
      <c r="M25" s="126" t="s">
        <v>243</v>
      </c>
      <c r="N25" s="127"/>
      <c r="O25" s="128"/>
      <c r="P25" s="128"/>
      <c r="Q25" s="128"/>
      <c r="R25" s="129"/>
    </row>
    <row r="26" spans="1:26" ht="33.6" customHeight="1">
      <c r="A26" s="151">
        <f>IFERROR(VLOOKUP($C26,Data!$A$123:$N$127,14,),"")</f>
        <v>0</v>
      </c>
      <c r="B26" s="158" t="s">
        <v>140</v>
      </c>
      <c r="C26" s="158" t="s">
        <v>195</v>
      </c>
      <c r="D26" s="154" t="s">
        <v>9</v>
      </c>
      <c r="E26" s="155">
        <f>IFERROR(VLOOKUP($C26,Data!$A$126:$I$130,7,),0)</f>
        <v>1.1000000000000001</v>
      </c>
      <c r="F26" s="155">
        <f t="shared" si="1"/>
        <v>3.9285714285714292E-2</v>
      </c>
      <c r="G26" s="155">
        <f>IFERROR(VLOOKUP($C26,Data!$A$126:$I$130,8,),0)</f>
        <v>25.3</v>
      </c>
      <c r="H26" s="155">
        <f>IFERROR(VLOOKUP($C26,Data!$A$126:$I$130,6,),0)</f>
        <v>1250</v>
      </c>
      <c r="I26" s="156"/>
      <c r="J26" s="157">
        <f t="shared" si="0"/>
        <v>1375</v>
      </c>
      <c r="K26" s="165"/>
      <c r="M26" s="65" t="s">
        <v>235</v>
      </c>
      <c r="N26" s="65" t="s">
        <v>236</v>
      </c>
      <c r="O26" s="130" t="s">
        <v>237</v>
      </c>
      <c r="P26" s="130" t="s">
        <v>238</v>
      </c>
      <c r="Q26" s="104" t="s">
        <v>239</v>
      </c>
      <c r="R26" s="104" t="s">
        <v>240</v>
      </c>
    </row>
    <row r="27" spans="1:26" ht="22.2" customHeight="1" thickBot="1">
      <c r="A27" s="73"/>
      <c r="B27" s="13"/>
      <c r="C27" s="13"/>
      <c r="D27" s="14"/>
      <c r="E27" s="15"/>
      <c r="F27" s="61"/>
      <c r="G27" s="61"/>
      <c r="H27" s="16"/>
      <c r="I27" s="16"/>
      <c r="J27" s="16"/>
      <c r="K27" s="17"/>
      <c r="M27" s="131" t="s">
        <v>241</v>
      </c>
      <c r="N27" s="131" t="s">
        <v>53</v>
      </c>
      <c r="O27" s="104">
        <v>16</v>
      </c>
      <c r="P27" s="104">
        <f>O27+10</f>
        <v>26</v>
      </c>
      <c r="Q27" s="104">
        <v>25</v>
      </c>
      <c r="R27" s="132">
        <v>38</v>
      </c>
    </row>
    <row r="28" spans="1:26" ht="21" thickBot="1">
      <c r="A28" s="18" t="s">
        <v>10</v>
      </c>
      <c r="C28" s="18"/>
      <c r="F28" s="138" t="s">
        <v>134</v>
      </c>
      <c r="G28" s="139">
        <f>SUM($G12:$G27)</f>
        <v>787.03339999999992</v>
      </c>
      <c r="H28" s="138" t="s">
        <v>11</v>
      </c>
      <c r="I28" s="138"/>
      <c r="J28" s="140">
        <f t="array" ref="J28">SUM(IFERROR(J12:J27,0))</f>
        <v>32919.020000000004</v>
      </c>
      <c r="K28" s="141"/>
      <c r="M28" s="133" t="s">
        <v>242</v>
      </c>
      <c r="N28" s="133" t="s">
        <v>50</v>
      </c>
      <c r="O28" s="104">
        <v>16</v>
      </c>
      <c r="P28" s="104">
        <f>P27+O28</f>
        <v>42</v>
      </c>
      <c r="Q28" s="134">
        <v>38</v>
      </c>
      <c r="R28" s="135">
        <v>45</v>
      </c>
    </row>
    <row r="29" spans="1:26" ht="20.399999999999999">
      <c r="A29" s="18"/>
      <c r="C29" s="18"/>
      <c r="F29" s="138" t="s">
        <v>133</v>
      </c>
      <c r="G29" s="139">
        <f>$G$28/($D$6*$D$7)</f>
        <v>28.108335714285712</v>
      </c>
      <c r="H29" s="138"/>
      <c r="I29" s="142" t="s">
        <v>12</v>
      </c>
      <c r="J29" s="143">
        <f>$J$28/($D$6*$D$7)</f>
        <v>1175.6792857142859</v>
      </c>
      <c r="K29" s="144" t="s">
        <v>13</v>
      </c>
      <c r="M29" s="65"/>
      <c r="N29" s="65"/>
      <c r="O29" s="104"/>
      <c r="P29" s="104"/>
      <c r="Q29" s="104">
        <v>75</v>
      </c>
      <c r="R29" s="104"/>
    </row>
    <row r="30" spans="1:26" ht="19.8">
      <c r="A30" s="24" t="s">
        <v>14</v>
      </c>
      <c r="C30" s="24"/>
      <c r="D30" s="25"/>
      <c r="E30" s="26"/>
      <c r="F30" s="26"/>
      <c r="G30" s="26"/>
      <c r="H30" s="26"/>
      <c r="I30" s="26"/>
      <c r="J30" s="25"/>
      <c r="K30" s="26"/>
      <c r="O30" s="136"/>
      <c r="P30" s="136"/>
      <c r="Q30" s="136"/>
      <c r="R30" s="136"/>
    </row>
    <row r="31" spans="1:26" ht="21">
      <c r="A31" s="27" t="s">
        <v>15</v>
      </c>
      <c r="C31" s="27"/>
      <c r="D31" s="25"/>
      <c r="E31" s="26"/>
      <c r="F31" s="26"/>
      <c r="G31" s="26"/>
      <c r="J31" s="25"/>
      <c r="K31" s="26"/>
      <c r="M31" s="126" t="s">
        <v>244</v>
      </c>
      <c r="N31" s="127"/>
      <c r="O31" s="128"/>
      <c r="P31" s="128"/>
      <c r="Q31" s="128"/>
      <c r="R31" s="129"/>
    </row>
    <row r="32" spans="1:26" ht="41.4" customHeight="1">
      <c r="A32" s="27" t="s">
        <v>16</v>
      </c>
      <c r="C32" s="27"/>
      <c r="D32" s="25"/>
      <c r="E32" s="26"/>
      <c r="F32" s="26"/>
      <c r="G32" s="26"/>
      <c r="J32" s="25"/>
      <c r="K32" s="26"/>
      <c r="M32" s="65" t="s">
        <v>235</v>
      </c>
      <c r="N32" s="65" t="s">
        <v>236</v>
      </c>
      <c r="O32" s="130" t="s">
        <v>237</v>
      </c>
      <c r="P32" s="130" t="s">
        <v>238</v>
      </c>
      <c r="Q32" s="104" t="s">
        <v>239</v>
      </c>
      <c r="R32" s="104" t="s">
        <v>240</v>
      </c>
    </row>
    <row r="33" spans="1:18" ht="21">
      <c r="A33" s="27" t="s">
        <v>17</v>
      </c>
      <c r="C33" s="27"/>
      <c r="D33" s="25"/>
      <c r="M33" s="131" t="s">
        <v>241</v>
      </c>
      <c r="N33" s="131" t="s">
        <v>104</v>
      </c>
      <c r="O33" s="104">
        <v>44</v>
      </c>
      <c r="P33" s="104">
        <f>O33+10</f>
        <v>54</v>
      </c>
      <c r="Q33" s="104">
        <v>25</v>
      </c>
      <c r="R33" s="132">
        <v>38</v>
      </c>
    </row>
    <row r="34" spans="1:18" ht="21">
      <c r="B34" s="27"/>
      <c r="C34" s="27"/>
      <c r="M34" s="137"/>
      <c r="N34" s="137"/>
      <c r="O34" s="132"/>
      <c r="P34" s="132"/>
      <c r="Q34" s="132">
        <v>38</v>
      </c>
      <c r="R34" s="132">
        <v>45</v>
      </c>
    </row>
    <row r="35" spans="1:18" ht="21" customHeight="1">
      <c r="M35" s="65"/>
      <c r="N35" s="65"/>
      <c r="O35" s="104"/>
      <c r="P35" s="104"/>
      <c r="Q35" s="134">
        <v>75</v>
      </c>
      <c r="R35" s="104"/>
    </row>
  </sheetData>
  <mergeCells count="6">
    <mergeCell ref="K25:K26"/>
    <mergeCell ref="A1:K1"/>
    <mergeCell ref="A2:K2"/>
    <mergeCell ref="A3:K3"/>
    <mergeCell ref="A11:C11"/>
    <mergeCell ref="K12:K14"/>
  </mergeCells>
  <dataValidations count="2">
    <dataValidation type="list" allowBlank="1" showInputMessage="1" showErrorMessage="1" sqref="C12">
      <formula1>C_Stud</formula1>
    </dataValidation>
    <dataValidation type="list" allowBlank="1" showInputMessage="1" showErrorMessage="1" sqref="D5">
      <formula1>Frames</formula1>
    </dataValidation>
  </dataValidations>
  <pageMargins left="0.7" right="0.7" top="0.75" bottom="0.75" header="0.3" footer="0.3"/>
  <pageSetup paperSize="9" scale="50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4">
        <x14:dataValidation type="list" allowBlank="1" showInputMessage="1" showErrorMessage="1">
          <x14:formula1>
            <xm:f>Data!$A$20:$A$36</xm:f>
          </x14:formula1>
          <xm:sqref>C13</xm:sqref>
        </x14:dataValidation>
        <x14:dataValidation type="list" allowBlank="1" showInputMessage="1" showErrorMessage="1">
          <x14:formula1>
            <xm:f>Data!$A$20:$A$23</xm:f>
          </x14:formula1>
          <xm:sqref>C14</xm:sqref>
        </x14:dataValidation>
        <x14:dataValidation type="list" allowBlank="1" showInputMessage="1" showErrorMessage="1">
          <x14:formula1>
            <xm:f>Data!$A$82:$A$83</xm:f>
          </x14:formula1>
          <xm:sqref>C16</xm:sqref>
        </x14:dataValidation>
        <x14:dataValidation type="list" allowBlank="1" showInputMessage="1" showErrorMessage="1">
          <x14:formula1>
            <xm:f>Data!$A$86:$A$88</xm:f>
          </x14:formula1>
          <xm:sqref>C17:C18</xm:sqref>
        </x14:dataValidation>
        <x14:dataValidation type="list" allowBlank="1" showInputMessage="1" showErrorMessage="1">
          <x14:formula1>
            <xm:f>Data!$A$91:$A$96</xm:f>
          </x14:formula1>
          <xm:sqref>C19</xm:sqref>
        </x14:dataValidation>
        <x14:dataValidation type="list" allowBlank="1" showInputMessage="1" showErrorMessage="1">
          <x14:formula1>
            <xm:f>Data!$A$105:$A$106</xm:f>
          </x14:formula1>
          <xm:sqref>C20</xm:sqref>
        </x14:dataValidation>
        <x14:dataValidation type="list" allowBlank="1" showInputMessage="1" showErrorMessage="1">
          <x14:formula1>
            <xm:f>Data!$A$123:$A$125</xm:f>
          </x14:formula1>
          <xm:sqref>C24</xm:sqref>
        </x14:dataValidation>
        <x14:dataValidation type="list" allowBlank="1" showInputMessage="1" showErrorMessage="1">
          <x14:formula1>
            <xm:f>Data!$A$126:$A$130</xm:f>
          </x14:formula1>
          <xm:sqref>C26</xm:sqref>
        </x14:dataValidation>
        <x14:dataValidation type="list" allowBlank="1" showInputMessage="1" showErrorMessage="1">
          <x14:formula1>
            <xm:f>Data!$A$119:$A$121</xm:f>
          </x14:formula1>
          <xm:sqref>C23</xm:sqref>
        </x14:dataValidation>
        <x14:dataValidation type="list" allowBlank="1" showInputMessage="1" showErrorMessage="1">
          <x14:formula1>
            <xm:f>Data!$A$109:$A$111</xm:f>
          </x14:formula1>
          <xm:sqref>C21</xm:sqref>
        </x14:dataValidation>
        <x14:dataValidation type="list" allowBlank="1" showInputMessage="1" showErrorMessage="1">
          <x14:formula1>
            <xm:f>Data!$A$39:$A$66</xm:f>
          </x14:formula1>
          <xm:sqref>C15</xm:sqref>
        </x14:dataValidation>
        <x14:dataValidation type="list" allowBlank="1" showInputMessage="1" showErrorMessage="1">
          <x14:formula1>
            <xm:f>'C:\Users\D4570727\Desktop\Gyproc Ying\2020 - work\Take off for Update on website\[1. Take off GypLyner system (for wall lining) - 6 April 2020.xlsx]Data'!#REF!</xm:f>
          </x14:formula1>
          <xm:sqref>N33:N34 N27:N28 N21:N22</xm:sqref>
        </x14:dataValidation>
        <x14:dataValidation type="list" allowBlank="1" showInputMessage="1" showErrorMessage="1">
          <x14:formula1>
            <xm:f>Data!$A$116:$A$117</xm:f>
          </x14:formula1>
          <xm:sqref>C25</xm:sqref>
        </x14:dataValidation>
        <x14:dataValidation type="list" allowBlank="1" showInputMessage="1" showErrorMessage="1">
          <x14:formula1>
            <xm:f>Data!$A$113:$A$115</xm:f>
          </x14:formula1>
          <xm:sqref>C22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44"/>
  <sheetViews>
    <sheetView topLeftCell="A18" zoomScale="90" zoomScaleNormal="90" workbookViewId="0">
      <selection activeCell="K33" sqref="K33"/>
    </sheetView>
  </sheetViews>
  <sheetFormatPr defaultRowHeight="14.4"/>
  <cols>
    <col min="1" max="1" width="17.5546875" customWidth="1"/>
    <col min="2" max="2" width="22.33203125" customWidth="1"/>
    <col min="3" max="3" width="42.109375" customWidth="1"/>
    <col min="4" max="4" width="17.44140625" customWidth="1"/>
    <col min="5" max="7" width="13.33203125" customWidth="1"/>
    <col min="8" max="8" width="14.5546875" customWidth="1"/>
    <col min="9" max="9" width="9.33203125" customWidth="1"/>
    <col min="10" max="10" width="12.88671875" bestFit="1" customWidth="1"/>
    <col min="11" max="11" width="25.33203125" bestFit="1" customWidth="1"/>
    <col min="261" max="261" width="51.6640625" customWidth="1"/>
    <col min="262" max="262" width="11.109375" customWidth="1"/>
    <col min="263" max="263" width="13.33203125" customWidth="1"/>
    <col min="264" max="264" width="14.5546875" customWidth="1"/>
    <col min="265" max="265" width="9.33203125" customWidth="1"/>
    <col min="266" max="266" width="12" customWidth="1"/>
    <col min="267" max="267" width="41.44140625" bestFit="1" customWidth="1"/>
    <col min="517" max="517" width="51.6640625" customWidth="1"/>
    <col min="518" max="518" width="11.109375" customWidth="1"/>
    <col min="519" max="519" width="13.33203125" customWidth="1"/>
    <col min="520" max="520" width="14.5546875" customWidth="1"/>
    <col min="521" max="521" width="9.33203125" customWidth="1"/>
    <col min="522" max="522" width="12" customWidth="1"/>
    <col min="523" max="523" width="41.44140625" bestFit="1" customWidth="1"/>
    <col min="773" max="773" width="51.6640625" customWidth="1"/>
    <col min="774" max="774" width="11.109375" customWidth="1"/>
    <col min="775" max="775" width="13.33203125" customWidth="1"/>
    <col min="776" max="776" width="14.5546875" customWidth="1"/>
    <col min="777" max="777" width="9.33203125" customWidth="1"/>
    <col min="778" max="778" width="12" customWidth="1"/>
    <col min="779" max="779" width="41.44140625" bestFit="1" customWidth="1"/>
    <col min="1029" max="1029" width="51.6640625" customWidth="1"/>
    <col min="1030" max="1030" width="11.109375" customWidth="1"/>
    <col min="1031" max="1031" width="13.33203125" customWidth="1"/>
    <col min="1032" max="1032" width="14.5546875" customWidth="1"/>
    <col min="1033" max="1033" width="9.33203125" customWidth="1"/>
    <col min="1034" max="1034" width="12" customWidth="1"/>
    <col min="1035" max="1035" width="41.44140625" bestFit="1" customWidth="1"/>
    <col min="1285" max="1285" width="51.6640625" customWidth="1"/>
    <col min="1286" max="1286" width="11.109375" customWidth="1"/>
    <col min="1287" max="1287" width="13.33203125" customWidth="1"/>
    <col min="1288" max="1288" width="14.5546875" customWidth="1"/>
    <col min="1289" max="1289" width="9.33203125" customWidth="1"/>
    <col min="1290" max="1290" width="12" customWidth="1"/>
    <col min="1291" max="1291" width="41.44140625" bestFit="1" customWidth="1"/>
    <col min="1541" max="1541" width="51.6640625" customWidth="1"/>
    <col min="1542" max="1542" width="11.109375" customWidth="1"/>
    <col min="1543" max="1543" width="13.33203125" customWidth="1"/>
    <col min="1544" max="1544" width="14.5546875" customWidth="1"/>
    <col min="1545" max="1545" width="9.33203125" customWidth="1"/>
    <col min="1546" max="1546" width="12" customWidth="1"/>
    <col min="1547" max="1547" width="41.44140625" bestFit="1" customWidth="1"/>
    <col min="1797" max="1797" width="51.6640625" customWidth="1"/>
    <col min="1798" max="1798" width="11.109375" customWidth="1"/>
    <col min="1799" max="1799" width="13.33203125" customWidth="1"/>
    <col min="1800" max="1800" width="14.5546875" customWidth="1"/>
    <col min="1801" max="1801" width="9.33203125" customWidth="1"/>
    <col min="1802" max="1802" width="12" customWidth="1"/>
    <col min="1803" max="1803" width="41.44140625" bestFit="1" customWidth="1"/>
    <col min="2053" max="2053" width="51.6640625" customWidth="1"/>
    <col min="2054" max="2054" width="11.109375" customWidth="1"/>
    <col min="2055" max="2055" width="13.33203125" customWidth="1"/>
    <col min="2056" max="2056" width="14.5546875" customWidth="1"/>
    <col min="2057" max="2057" width="9.33203125" customWidth="1"/>
    <col min="2058" max="2058" width="12" customWidth="1"/>
    <col min="2059" max="2059" width="41.44140625" bestFit="1" customWidth="1"/>
    <col min="2309" max="2309" width="51.6640625" customWidth="1"/>
    <col min="2310" max="2310" width="11.109375" customWidth="1"/>
    <col min="2311" max="2311" width="13.33203125" customWidth="1"/>
    <col min="2312" max="2312" width="14.5546875" customWidth="1"/>
    <col min="2313" max="2313" width="9.33203125" customWidth="1"/>
    <col min="2314" max="2314" width="12" customWidth="1"/>
    <col min="2315" max="2315" width="41.44140625" bestFit="1" customWidth="1"/>
    <col min="2565" max="2565" width="51.6640625" customWidth="1"/>
    <col min="2566" max="2566" width="11.109375" customWidth="1"/>
    <col min="2567" max="2567" width="13.33203125" customWidth="1"/>
    <col min="2568" max="2568" width="14.5546875" customWidth="1"/>
    <col min="2569" max="2569" width="9.33203125" customWidth="1"/>
    <col min="2570" max="2570" width="12" customWidth="1"/>
    <col min="2571" max="2571" width="41.44140625" bestFit="1" customWidth="1"/>
    <col min="2821" max="2821" width="51.6640625" customWidth="1"/>
    <col min="2822" max="2822" width="11.109375" customWidth="1"/>
    <col min="2823" max="2823" width="13.33203125" customWidth="1"/>
    <col min="2824" max="2824" width="14.5546875" customWidth="1"/>
    <col min="2825" max="2825" width="9.33203125" customWidth="1"/>
    <col min="2826" max="2826" width="12" customWidth="1"/>
    <col min="2827" max="2827" width="41.44140625" bestFit="1" customWidth="1"/>
    <col min="3077" max="3077" width="51.6640625" customWidth="1"/>
    <col min="3078" max="3078" width="11.109375" customWidth="1"/>
    <col min="3079" max="3079" width="13.33203125" customWidth="1"/>
    <col min="3080" max="3080" width="14.5546875" customWidth="1"/>
    <col min="3081" max="3081" width="9.33203125" customWidth="1"/>
    <col min="3082" max="3082" width="12" customWidth="1"/>
    <col min="3083" max="3083" width="41.44140625" bestFit="1" customWidth="1"/>
    <col min="3333" max="3333" width="51.6640625" customWidth="1"/>
    <col min="3334" max="3334" width="11.109375" customWidth="1"/>
    <col min="3335" max="3335" width="13.33203125" customWidth="1"/>
    <col min="3336" max="3336" width="14.5546875" customWidth="1"/>
    <col min="3337" max="3337" width="9.33203125" customWidth="1"/>
    <col min="3338" max="3338" width="12" customWidth="1"/>
    <col min="3339" max="3339" width="41.44140625" bestFit="1" customWidth="1"/>
    <col min="3589" max="3589" width="51.6640625" customWidth="1"/>
    <col min="3590" max="3590" width="11.109375" customWidth="1"/>
    <col min="3591" max="3591" width="13.33203125" customWidth="1"/>
    <col min="3592" max="3592" width="14.5546875" customWidth="1"/>
    <col min="3593" max="3593" width="9.33203125" customWidth="1"/>
    <col min="3594" max="3594" width="12" customWidth="1"/>
    <col min="3595" max="3595" width="41.44140625" bestFit="1" customWidth="1"/>
    <col min="3845" max="3845" width="51.6640625" customWidth="1"/>
    <col min="3846" max="3846" width="11.109375" customWidth="1"/>
    <col min="3847" max="3847" width="13.33203125" customWidth="1"/>
    <col min="3848" max="3848" width="14.5546875" customWidth="1"/>
    <col min="3849" max="3849" width="9.33203125" customWidth="1"/>
    <col min="3850" max="3850" width="12" customWidth="1"/>
    <col min="3851" max="3851" width="41.44140625" bestFit="1" customWidth="1"/>
    <col min="4101" max="4101" width="51.6640625" customWidth="1"/>
    <col min="4102" max="4102" width="11.109375" customWidth="1"/>
    <col min="4103" max="4103" width="13.33203125" customWidth="1"/>
    <col min="4104" max="4104" width="14.5546875" customWidth="1"/>
    <col min="4105" max="4105" width="9.33203125" customWidth="1"/>
    <col min="4106" max="4106" width="12" customWidth="1"/>
    <col min="4107" max="4107" width="41.44140625" bestFit="1" customWidth="1"/>
    <col min="4357" max="4357" width="51.6640625" customWidth="1"/>
    <col min="4358" max="4358" width="11.109375" customWidth="1"/>
    <col min="4359" max="4359" width="13.33203125" customWidth="1"/>
    <col min="4360" max="4360" width="14.5546875" customWidth="1"/>
    <col min="4361" max="4361" width="9.33203125" customWidth="1"/>
    <col min="4362" max="4362" width="12" customWidth="1"/>
    <col min="4363" max="4363" width="41.44140625" bestFit="1" customWidth="1"/>
    <col min="4613" max="4613" width="51.6640625" customWidth="1"/>
    <col min="4614" max="4614" width="11.109375" customWidth="1"/>
    <col min="4615" max="4615" width="13.33203125" customWidth="1"/>
    <col min="4616" max="4616" width="14.5546875" customWidth="1"/>
    <col min="4617" max="4617" width="9.33203125" customWidth="1"/>
    <col min="4618" max="4618" width="12" customWidth="1"/>
    <col min="4619" max="4619" width="41.44140625" bestFit="1" customWidth="1"/>
    <col min="4869" max="4869" width="51.6640625" customWidth="1"/>
    <col min="4870" max="4870" width="11.109375" customWidth="1"/>
    <col min="4871" max="4871" width="13.33203125" customWidth="1"/>
    <col min="4872" max="4872" width="14.5546875" customWidth="1"/>
    <col min="4873" max="4873" width="9.33203125" customWidth="1"/>
    <col min="4874" max="4874" width="12" customWidth="1"/>
    <col min="4875" max="4875" width="41.44140625" bestFit="1" customWidth="1"/>
    <col min="5125" max="5125" width="51.6640625" customWidth="1"/>
    <col min="5126" max="5126" width="11.109375" customWidth="1"/>
    <col min="5127" max="5127" width="13.33203125" customWidth="1"/>
    <col min="5128" max="5128" width="14.5546875" customWidth="1"/>
    <col min="5129" max="5129" width="9.33203125" customWidth="1"/>
    <col min="5130" max="5130" width="12" customWidth="1"/>
    <col min="5131" max="5131" width="41.44140625" bestFit="1" customWidth="1"/>
    <col min="5381" max="5381" width="51.6640625" customWidth="1"/>
    <col min="5382" max="5382" width="11.109375" customWidth="1"/>
    <col min="5383" max="5383" width="13.33203125" customWidth="1"/>
    <col min="5384" max="5384" width="14.5546875" customWidth="1"/>
    <col min="5385" max="5385" width="9.33203125" customWidth="1"/>
    <col min="5386" max="5386" width="12" customWidth="1"/>
    <col min="5387" max="5387" width="41.44140625" bestFit="1" customWidth="1"/>
    <col min="5637" max="5637" width="51.6640625" customWidth="1"/>
    <col min="5638" max="5638" width="11.109375" customWidth="1"/>
    <col min="5639" max="5639" width="13.33203125" customWidth="1"/>
    <col min="5640" max="5640" width="14.5546875" customWidth="1"/>
    <col min="5641" max="5641" width="9.33203125" customWidth="1"/>
    <col min="5642" max="5642" width="12" customWidth="1"/>
    <col min="5643" max="5643" width="41.44140625" bestFit="1" customWidth="1"/>
    <col min="5893" max="5893" width="51.6640625" customWidth="1"/>
    <col min="5894" max="5894" width="11.109375" customWidth="1"/>
    <col min="5895" max="5895" width="13.33203125" customWidth="1"/>
    <col min="5896" max="5896" width="14.5546875" customWidth="1"/>
    <col min="5897" max="5897" width="9.33203125" customWidth="1"/>
    <col min="5898" max="5898" width="12" customWidth="1"/>
    <col min="5899" max="5899" width="41.44140625" bestFit="1" customWidth="1"/>
    <col min="6149" max="6149" width="51.6640625" customWidth="1"/>
    <col min="6150" max="6150" width="11.109375" customWidth="1"/>
    <col min="6151" max="6151" width="13.33203125" customWidth="1"/>
    <col min="6152" max="6152" width="14.5546875" customWidth="1"/>
    <col min="6153" max="6153" width="9.33203125" customWidth="1"/>
    <col min="6154" max="6154" width="12" customWidth="1"/>
    <col min="6155" max="6155" width="41.44140625" bestFit="1" customWidth="1"/>
    <col min="6405" max="6405" width="51.6640625" customWidth="1"/>
    <col min="6406" max="6406" width="11.109375" customWidth="1"/>
    <col min="6407" max="6407" width="13.33203125" customWidth="1"/>
    <col min="6408" max="6408" width="14.5546875" customWidth="1"/>
    <col min="6409" max="6409" width="9.33203125" customWidth="1"/>
    <col min="6410" max="6410" width="12" customWidth="1"/>
    <col min="6411" max="6411" width="41.44140625" bestFit="1" customWidth="1"/>
    <col min="6661" max="6661" width="51.6640625" customWidth="1"/>
    <col min="6662" max="6662" width="11.109375" customWidth="1"/>
    <col min="6663" max="6663" width="13.33203125" customWidth="1"/>
    <col min="6664" max="6664" width="14.5546875" customWidth="1"/>
    <col min="6665" max="6665" width="9.33203125" customWidth="1"/>
    <col min="6666" max="6666" width="12" customWidth="1"/>
    <col min="6667" max="6667" width="41.44140625" bestFit="1" customWidth="1"/>
    <col min="6917" max="6917" width="51.6640625" customWidth="1"/>
    <col min="6918" max="6918" width="11.109375" customWidth="1"/>
    <col min="6919" max="6919" width="13.33203125" customWidth="1"/>
    <col min="6920" max="6920" width="14.5546875" customWidth="1"/>
    <col min="6921" max="6921" width="9.33203125" customWidth="1"/>
    <col min="6922" max="6922" width="12" customWidth="1"/>
    <col min="6923" max="6923" width="41.44140625" bestFit="1" customWidth="1"/>
    <col min="7173" max="7173" width="51.6640625" customWidth="1"/>
    <col min="7174" max="7174" width="11.109375" customWidth="1"/>
    <col min="7175" max="7175" width="13.33203125" customWidth="1"/>
    <col min="7176" max="7176" width="14.5546875" customWidth="1"/>
    <col min="7177" max="7177" width="9.33203125" customWidth="1"/>
    <col min="7178" max="7178" width="12" customWidth="1"/>
    <col min="7179" max="7179" width="41.44140625" bestFit="1" customWidth="1"/>
    <col min="7429" max="7429" width="51.6640625" customWidth="1"/>
    <col min="7430" max="7430" width="11.109375" customWidth="1"/>
    <col min="7431" max="7431" width="13.33203125" customWidth="1"/>
    <col min="7432" max="7432" width="14.5546875" customWidth="1"/>
    <col min="7433" max="7433" width="9.33203125" customWidth="1"/>
    <col min="7434" max="7434" width="12" customWidth="1"/>
    <col min="7435" max="7435" width="41.44140625" bestFit="1" customWidth="1"/>
    <col min="7685" max="7685" width="51.6640625" customWidth="1"/>
    <col min="7686" max="7686" width="11.109375" customWidth="1"/>
    <col min="7687" max="7687" width="13.33203125" customWidth="1"/>
    <col min="7688" max="7688" width="14.5546875" customWidth="1"/>
    <col min="7689" max="7689" width="9.33203125" customWidth="1"/>
    <col min="7690" max="7690" width="12" customWidth="1"/>
    <col min="7691" max="7691" width="41.44140625" bestFit="1" customWidth="1"/>
    <col min="7941" max="7941" width="51.6640625" customWidth="1"/>
    <col min="7942" max="7942" width="11.109375" customWidth="1"/>
    <col min="7943" max="7943" width="13.33203125" customWidth="1"/>
    <col min="7944" max="7944" width="14.5546875" customWidth="1"/>
    <col min="7945" max="7945" width="9.33203125" customWidth="1"/>
    <col min="7946" max="7946" width="12" customWidth="1"/>
    <col min="7947" max="7947" width="41.44140625" bestFit="1" customWidth="1"/>
    <col min="8197" max="8197" width="51.6640625" customWidth="1"/>
    <col min="8198" max="8198" width="11.109375" customWidth="1"/>
    <col min="8199" max="8199" width="13.33203125" customWidth="1"/>
    <col min="8200" max="8200" width="14.5546875" customWidth="1"/>
    <col min="8201" max="8201" width="9.33203125" customWidth="1"/>
    <col min="8202" max="8202" width="12" customWidth="1"/>
    <col min="8203" max="8203" width="41.44140625" bestFit="1" customWidth="1"/>
    <col min="8453" max="8453" width="51.6640625" customWidth="1"/>
    <col min="8454" max="8454" width="11.109375" customWidth="1"/>
    <col min="8455" max="8455" width="13.33203125" customWidth="1"/>
    <col min="8456" max="8456" width="14.5546875" customWidth="1"/>
    <col min="8457" max="8457" width="9.33203125" customWidth="1"/>
    <col min="8458" max="8458" width="12" customWidth="1"/>
    <col min="8459" max="8459" width="41.44140625" bestFit="1" customWidth="1"/>
    <col min="8709" max="8709" width="51.6640625" customWidth="1"/>
    <col min="8710" max="8710" width="11.109375" customWidth="1"/>
    <col min="8711" max="8711" width="13.33203125" customWidth="1"/>
    <col min="8712" max="8712" width="14.5546875" customWidth="1"/>
    <col min="8713" max="8713" width="9.33203125" customWidth="1"/>
    <col min="8714" max="8714" width="12" customWidth="1"/>
    <col min="8715" max="8715" width="41.44140625" bestFit="1" customWidth="1"/>
    <col min="8965" max="8965" width="51.6640625" customWidth="1"/>
    <col min="8966" max="8966" width="11.109375" customWidth="1"/>
    <col min="8967" max="8967" width="13.33203125" customWidth="1"/>
    <col min="8968" max="8968" width="14.5546875" customWidth="1"/>
    <col min="8969" max="8969" width="9.33203125" customWidth="1"/>
    <col min="8970" max="8970" width="12" customWidth="1"/>
    <col min="8971" max="8971" width="41.44140625" bestFit="1" customWidth="1"/>
    <col min="9221" max="9221" width="51.6640625" customWidth="1"/>
    <col min="9222" max="9222" width="11.109375" customWidth="1"/>
    <col min="9223" max="9223" width="13.33203125" customWidth="1"/>
    <col min="9224" max="9224" width="14.5546875" customWidth="1"/>
    <col min="9225" max="9225" width="9.33203125" customWidth="1"/>
    <col min="9226" max="9226" width="12" customWidth="1"/>
    <col min="9227" max="9227" width="41.44140625" bestFit="1" customWidth="1"/>
    <col min="9477" max="9477" width="51.6640625" customWidth="1"/>
    <col min="9478" max="9478" width="11.109375" customWidth="1"/>
    <col min="9479" max="9479" width="13.33203125" customWidth="1"/>
    <col min="9480" max="9480" width="14.5546875" customWidth="1"/>
    <col min="9481" max="9481" width="9.33203125" customWidth="1"/>
    <col min="9482" max="9482" width="12" customWidth="1"/>
    <col min="9483" max="9483" width="41.44140625" bestFit="1" customWidth="1"/>
    <col min="9733" max="9733" width="51.6640625" customWidth="1"/>
    <col min="9734" max="9734" width="11.109375" customWidth="1"/>
    <col min="9735" max="9735" width="13.33203125" customWidth="1"/>
    <col min="9736" max="9736" width="14.5546875" customWidth="1"/>
    <col min="9737" max="9737" width="9.33203125" customWidth="1"/>
    <col min="9738" max="9738" width="12" customWidth="1"/>
    <col min="9739" max="9739" width="41.44140625" bestFit="1" customWidth="1"/>
    <col min="9989" max="9989" width="51.6640625" customWidth="1"/>
    <col min="9990" max="9990" width="11.109375" customWidth="1"/>
    <col min="9991" max="9991" width="13.33203125" customWidth="1"/>
    <col min="9992" max="9992" width="14.5546875" customWidth="1"/>
    <col min="9993" max="9993" width="9.33203125" customWidth="1"/>
    <col min="9994" max="9994" width="12" customWidth="1"/>
    <col min="9995" max="9995" width="41.44140625" bestFit="1" customWidth="1"/>
    <col min="10245" max="10245" width="51.6640625" customWidth="1"/>
    <col min="10246" max="10246" width="11.109375" customWidth="1"/>
    <col min="10247" max="10247" width="13.33203125" customWidth="1"/>
    <col min="10248" max="10248" width="14.5546875" customWidth="1"/>
    <col min="10249" max="10249" width="9.33203125" customWidth="1"/>
    <col min="10250" max="10250" width="12" customWidth="1"/>
    <col min="10251" max="10251" width="41.44140625" bestFit="1" customWidth="1"/>
    <col min="10501" max="10501" width="51.6640625" customWidth="1"/>
    <col min="10502" max="10502" width="11.109375" customWidth="1"/>
    <col min="10503" max="10503" width="13.33203125" customWidth="1"/>
    <col min="10504" max="10504" width="14.5546875" customWidth="1"/>
    <col min="10505" max="10505" width="9.33203125" customWidth="1"/>
    <col min="10506" max="10506" width="12" customWidth="1"/>
    <col min="10507" max="10507" width="41.44140625" bestFit="1" customWidth="1"/>
    <col min="10757" max="10757" width="51.6640625" customWidth="1"/>
    <col min="10758" max="10758" width="11.109375" customWidth="1"/>
    <col min="10759" max="10759" width="13.33203125" customWidth="1"/>
    <col min="10760" max="10760" width="14.5546875" customWidth="1"/>
    <col min="10761" max="10761" width="9.33203125" customWidth="1"/>
    <col min="10762" max="10762" width="12" customWidth="1"/>
    <col min="10763" max="10763" width="41.44140625" bestFit="1" customWidth="1"/>
    <col min="11013" max="11013" width="51.6640625" customWidth="1"/>
    <col min="11014" max="11014" width="11.109375" customWidth="1"/>
    <col min="11015" max="11015" width="13.33203125" customWidth="1"/>
    <col min="11016" max="11016" width="14.5546875" customWidth="1"/>
    <col min="11017" max="11017" width="9.33203125" customWidth="1"/>
    <col min="11018" max="11018" width="12" customWidth="1"/>
    <col min="11019" max="11019" width="41.44140625" bestFit="1" customWidth="1"/>
    <col min="11269" max="11269" width="51.6640625" customWidth="1"/>
    <col min="11270" max="11270" width="11.109375" customWidth="1"/>
    <col min="11271" max="11271" width="13.33203125" customWidth="1"/>
    <col min="11272" max="11272" width="14.5546875" customWidth="1"/>
    <col min="11273" max="11273" width="9.33203125" customWidth="1"/>
    <col min="11274" max="11274" width="12" customWidth="1"/>
    <col min="11275" max="11275" width="41.44140625" bestFit="1" customWidth="1"/>
    <col min="11525" max="11525" width="51.6640625" customWidth="1"/>
    <col min="11526" max="11526" width="11.109375" customWidth="1"/>
    <col min="11527" max="11527" width="13.33203125" customWidth="1"/>
    <col min="11528" max="11528" width="14.5546875" customWidth="1"/>
    <col min="11529" max="11529" width="9.33203125" customWidth="1"/>
    <col min="11530" max="11530" width="12" customWidth="1"/>
    <col min="11531" max="11531" width="41.44140625" bestFit="1" customWidth="1"/>
    <col min="11781" max="11781" width="51.6640625" customWidth="1"/>
    <col min="11782" max="11782" width="11.109375" customWidth="1"/>
    <col min="11783" max="11783" width="13.33203125" customWidth="1"/>
    <col min="11784" max="11784" width="14.5546875" customWidth="1"/>
    <col min="11785" max="11785" width="9.33203125" customWidth="1"/>
    <col min="11786" max="11786" width="12" customWidth="1"/>
    <col min="11787" max="11787" width="41.44140625" bestFit="1" customWidth="1"/>
    <col min="12037" max="12037" width="51.6640625" customWidth="1"/>
    <col min="12038" max="12038" width="11.109375" customWidth="1"/>
    <col min="12039" max="12039" width="13.33203125" customWidth="1"/>
    <col min="12040" max="12040" width="14.5546875" customWidth="1"/>
    <col min="12041" max="12041" width="9.33203125" customWidth="1"/>
    <col min="12042" max="12042" width="12" customWidth="1"/>
    <col min="12043" max="12043" width="41.44140625" bestFit="1" customWidth="1"/>
    <col min="12293" max="12293" width="51.6640625" customWidth="1"/>
    <col min="12294" max="12294" width="11.109375" customWidth="1"/>
    <col min="12295" max="12295" width="13.33203125" customWidth="1"/>
    <col min="12296" max="12296" width="14.5546875" customWidth="1"/>
    <col min="12297" max="12297" width="9.33203125" customWidth="1"/>
    <col min="12298" max="12298" width="12" customWidth="1"/>
    <col min="12299" max="12299" width="41.44140625" bestFit="1" customWidth="1"/>
    <col min="12549" max="12549" width="51.6640625" customWidth="1"/>
    <col min="12550" max="12550" width="11.109375" customWidth="1"/>
    <col min="12551" max="12551" width="13.33203125" customWidth="1"/>
    <col min="12552" max="12552" width="14.5546875" customWidth="1"/>
    <col min="12553" max="12553" width="9.33203125" customWidth="1"/>
    <col min="12554" max="12554" width="12" customWidth="1"/>
    <col min="12555" max="12555" width="41.44140625" bestFit="1" customWidth="1"/>
    <col min="12805" max="12805" width="51.6640625" customWidth="1"/>
    <col min="12806" max="12806" width="11.109375" customWidth="1"/>
    <col min="12807" max="12807" width="13.33203125" customWidth="1"/>
    <col min="12808" max="12808" width="14.5546875" customWidth="1"/>
    <col min="12809" max="12809" width="9.33203125" customWidth="1"/>
    <col min="12810" max="12810" width="12" customWidth="1"/>
    <col min="12811" max="12811" width="41.44140625" bestFit="1" customWidth="1"/>
    <col min="13061" max="13061" width="51.6640625" customWidth="1"/>
    <col min="13062" max="13062" width="11.109375" customWidth="1"/>
    <col min="13063" max="13063" width="13.33203125" customWidth="1"/>
    <col min="13064" max="13064" width="14.5546875" customWidth="1"/>
    <col min="13065" max="13065" width="9.33203125" customWidth="1"/>
    <col min="13066" max="13066" width="12" customWidth="1"/>
    <col min="13067" max="13067" width="41.44140625" bestFit="1" customWidth="1"/>
    <col min="13317" max="13317" width="51.6640625" customWidth="1"/>
    <col min="13318" max="13318" width="11.109375" customWidth="1"/>
    <col min="13319" max="13319" width="13.33203125" customWidth="1"/>
    <col min="13320" max="13320" width="14.5546875" customWidth="1"/>
    <col min="13321" max="13321" width="9.33203125" customWidth="1"/>
    <col min="13322" max="13322" width="12" customWidth="1"/>
    <col min="13323" max="13323" width="41.44140625" bestFit="1" customWidth="1"/>
    <col min="13573" max="13573" width="51.6640625" customWidth="1"/>
    <col min="13574" max="13574" width="11.109375" customWidth="1"/>
    <col min="13575" max="13575" width="13.33203125" customWidth="1"/>
    <col min="13576" max="13576" width="14.5546875" customWidth="1"/>
    <col min="13577" max="13577" width="9.33203125" customWidth="1"/>
    <col min="13578" max="13578" width="12" customWidth="1"/>
    <col min="13579" max="13579" width="41.44140625" bestFit="1" customWidth="1"/>
    <col min="13829" max="13829" width="51.6640625" customWidth="1"/>
    <col min="13830" max="13830" width="11.109375" customWidth="1"/>
    <col min="13831" max="13831" width="13.33203125" customWidth="1"/>
    <col min="13832" max="13832" width="14.5546875" customWidth="1"/>
    <col min="13833" max="13833" width="9.33203125" customWidth="1"/>
    <col min="13834" max="13834" width="12" customWidth="1"/>
    <col min="13835" max="13835" width="41.44140625" bestFit="1" customWidth="1"/>
    <col min="14085" max="14085" width="51.6640625" customWidth="1"/>
    <col min="14086" max="14086" width="11.109375" customWidth="1"/>
    <col min="14087" max="14087" width="13.33203125" customWidth="1"/>
    <col min="14088" max="14088" width="14.5546875" customWidth="1"/>
    <col min="14089" max="14089" width="9.33203125" customWidth="1"/>
    <col min="14090" max="14090" width="12" customWidth="1"/>
    <col min="14091" max="14091" width="41.44140625" bestFit="1" customWidth="1"/>
    <col min="14341" max="14341" width="51.6640625" customWidth="1"/>
    <col min="14342" max="14342" width="11.109375" customWidth="1"/>
    <col min="14343" max="14343" width="13.33203125" customWidth="1"/>
    <col min="14344" max="14344" width="14.5546875" customWidth="1"/>
    <col min="14345" max="14345" width="9.33203125" customWidth="1"/>
    <col min="14346" max="14346" width="12" customWidth="1"/>
    <col min="14347" max="14347" width="41.44140625" bestFit="1" customWidth="1"/>
    <col min="14597" max="14597" width="51.6640625" customWidth="1"/>
    <col min="14598" max="14598" width="11.109375" customWidth="1"/>
    <col min="14599" max="14599" width="13.33203125" customWidth="1"/>
    <col min="14600" max="14600" width="14.5546875" customWidth="1"/>
    <col min="14601" max="14601" width="9.33203125" customWidth="1"/>
    <col min="14602" max="14602" width="12" customWidth="1"/>
    <col min="14603" max="14603" width="41.44140625" bestFit="1" customWidth="1"/>
    <col min="14853" max="14853" width="51.6640625" customWidth="1"/>
    <col min="14854" max="14854" width="11.109375" customWidth="1"/>
    <col min="14855" max="14855" width="13.33203125" customWidth="1"/>
    <col min="14856" max="14856" width="14.5546875" customWidth="1"/>
    <col min="14857" max="14857" width="9.33203125" customWidth="1"/>
    <col min="14858" max="14858" width="12" customWidth="1"/>
    <col min="14859" max="14859" width="41.44140625" bestFit="1" customWidth="1"/>
    <col min="15109" max="15109" width="51.6640625" customWidth="1"/>
    <col min="15110" max="15110" width="11.109375" customWidth="1"/>
    <col min="15111" max="15111" width="13.33203125" customWidth="1"/>
    <col min="15112" max="15112" width="14.5546875" customWidth="1"/>
    <col min="15113" max="15113" width="9.33203125" customWidth="1"/>
    <col min="15114" max="15114" width="12" customWidth="1"/>
    <col min="15115" max="15115" width="41.44140625" bestFit="1" customWidth="1"/>
    <col min="15365" max="15365" width="51.6640625" customWidth="1"/>
    <col min="15366" max="15366" width="11.109375" customWidth="1"/>
    <col min="15367" max="15367" width="13.33203125" customWidth="1"/>
    <col min="15368" max="15368" width="14.5546875" customWidth="1"/>
    <col min="15369" max="15369" width="9.33203125" customWidth="1"/>
    <col min="15370" max="15370" width="12" customWidth="1"/>
    <col min="15371" max="15371" width="41.44140625" bestFit="1" customWidth="1"/>
    <col min="15621" max="15621" width="51.6640625" customWidth="1"/>
    <col min="15622" max="15622" width="11.109375" customWidth="1"/>
    <col min="15623" max="15623" width="13.33203125" customWidth="1"/>
    <col min="15624" max="15624" width="14.5546875" customWidth="1"/>
    <col min="15625" max="15625" width="9.33203125" customWidth="1"/>
    <col min="15626" max="15626" width="12" customWidth="1"/>
    <col min="15627" max="15627" width="41.44140625" bestFit="1" customWidth="1"/>
    <col min="15877" max="15877" width="51.6640625" customWidth="1"/>
    <col min="15878" max="15878" width="11.109375" customWidth="1"/>
    <col min="15879" max="15879" width="13.33203125" customWidth="1"/>
    <col min="15880" max="15880" width="14.5546875" customWidth="1"/>
    <col min="15881" max="15881" width="9.33203125" customWidth="1"/>
    <col min="15882" max="15882" width="12" customWidth="1"/>
    <col min="15883" max="15883" width="41.44140625" bestFit="1" customWidth="1"/>
    <col min="16133" max="16133" width="51.6640625" customWidth="1"/>
    <col min="16134" max="16134" width="11.109375" customWidth="1"/>
    <col min="16135" max="16135" width="13.33203125" customWidth="1"/>
    <col min="16136" max="16136" width="14.5546875" customWidth="1"/>
    <col min="16137" max="16137" width="9.33203125" customWidth="1"/>
    <col min="16138" max="16138" width="12" customWidth="1"/>
    <col min="16139" max="16139" width="41.44140625" bestFit="1" customWidth="1"/>
  </cols>
  <sheetData>
    <row r="1" spans="1:19" ht="34.799999999999997">
      <c r="A1" s="166" t="s">
        <v>0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</row>
    <row r="2" spans="1:19" ht="23.4">
      <c r="A2" s="176" t="s">
        <v>194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</row>
    <row r="3" spans="1:19" ht="34.799999999999997">
      <c r="A3" s="168" t="s">
        <v>100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M3" s="39"/>
      <c r="N3" s="39"/>
      <c r="O3" s="39"/>
      <c r="P3" s="39"/>
      <c r="Q3" s="39"/>
      <c r="R3" s="39"/>
      <c r="S3" s="39"/>
    </row>
    <row r="4" spans="1:19" ht="26.4">
      <c r="A4" s="43" t="s">
        <v>109</v>
      </c>
      <c r="B4" s="70"/>
      <c r="C4" s="43"/>
      <c r="D4" s="1"/>
      <c r="E4" s="1"/>
      <c r="F4" s="1"/>
      <c r="G4" s="1"/>
      <c r="H4" s="2"/>
      <c r="I4" s="2"/>
      <c r="J4" s="2"/>
      <c r="K4" s="2"/>
    </row>
    <row r="5" spans="1:19" ht="23.4">
      <c r="A5" s="1" t="s">
        <v>18</v>
      </c>
      <c r="B5" s="70"/>
      <c r="C5" s="1"/>
      <c r="D5" s="82" t="s">
        <v>19</v>
      </c>
      <c r="E5" s="3"/>
      <c r="F5" s="3"/>
      <c r="G5" s="3"/>
      <c r="H5" s="2"/>
      <c r="I5" s="2"/>
      <c r="J5" s="2"/>
      <c r="K5" s="2"/>
    </row>
    <row r="6" spans="1:19" ht="23.4">
      <c r="A6" s="1" t="s">
        <v>21</v>
      </c>
      <c r="B6" s="70"/>
      <c r="C6" s="1"/>
      <c r="D6" s="83"/>
      <c r="E6" s="3" t="s">
        <v>22</v>
      </c>
      <c r="F6" s="3"/>
      <c r="G6" s="3"/>
      <c r="H6" s="2"/>
      <c r="I6" s="2"/>
      <c r="J6" s="2"/>
      <c r="K6" s="2"/>
    </row>
    <row r="7" spans="1:19" ht="23.4">
      <c r="A7" s="1" t="s">
        <v>23</v>
      </c>
      <c r="B7" s="70"/>
      <c r="C7" s="1"/>
      <c r="D7" s="41">
        <v>7</v>
      </c>
      <c r="E7" s="3" t="s">
        <v>89</v>
      </c>
      <c r="F7" s="3"/>
      <c r="G7" s="3"/>
      <c r="H7" s="2"/>
      <c r="I7" s="2"/>
      <c r="J7" s="2"/>
      <c r="K7" s="2"/>
    </row>
    <row r="8" spans="1:19" ht="23.4">
      <c r="A8" s="1" t="s">
        <v>24</v>
      </c>
      <c r="B8" s="70"/>
      <c r="C8" s="1"/>
      <c r="D8" s="76">
        <v>10</v>
      </c>
      <c r="E8" s="3" t="s">
        <v>89</v>
      </c>
      <c r="F8" s="3"/>
      <c r="G8" s="3"/>
      <c r="H8" s="2"/>
      <c r="I8" s="2"/>
      <c r="J8" s="2"/>
      <c r="K8" s="2"/>
    </row>
    <row r="9" spans="1:19" ht="23.4">
      <c r="A9" s="1" t="s">
        <v>91</v>
      </c>
      <c r="B9" s="70"/>
      <c r="C9" s="1"/>
      <c r="D9" s="41">
        <v>600</v>
      </c>
      <c r="E9" s="3" t="s">
        <v>22</v>
      </c>
      <c r="F9" s="3"/>
      <c r="G9" s="3"/>
      <c r="H9" s="2"/>
      <c r="I9" s="2"/>
      <c r="J9" s="2"/>
      <c r="K9" s="2"/>
    </row>
    <row r="10" spans="1:19" ht="23.4">
      <c r="A10" s="1" t="s">
        <v>92</v>
      </c>
      <c r="B10" s="70"/>
      <c r="C10" s="1"/>
      <c r="D10" s="83">
        <v>180</v>
      </c>
      <c r="E10" s="3" t="s">
        <v>22</v>
      </c>
      <c r="F10" s="3"/>
      <c r="G10" s="3"/>
      <c r="H10" s="2"/>
      <c r="I10" s="2"/>
      <c r="J10" s="2"/>
      <c r="K10" s="2"/>
    </row>
    <row r="11" spans="1:19" ht="23.4">
      <c r="A11" s="1" t="s">
        <v>137</v>
      </c>
      <c r="B11" s="70"/>
      <c r="C11" s="1"/>
      <c r="D11" s="83">
        <v>0</v>
      </c>
      <c r="E11" s="3" t="s">
        <v>22</v>
      </c>
      <c r="F11" s="3"/>
      <c r="G11" s="3"/>
      <c r="H11" s="2"/>
      <c r="I11" s="2"/>
      <c r="J11" s="2"/>
      <c r="K11" s="2"/>
    </row>
    <row r="12" spans="1:19" ht="23.4">
      <c r="A12" s="1" t="s">
        <v>138</v>
      </c>
      <c r="B12" s="70"/>
      <c r="C12" s="1"/>
      <c r="D12" s="63">
        <v>0.05</v>
      </c>
      <c r="E12" s="3"/>
      <c r="F12" s="3"/>
      <c r="G12" s="3"/>
      <c r="H12" s="2"/>
      <c r="I12" s="2"/>
      <c r="J12" s="2"/>
      <c r="K12" s="2"/>
    </row>
    <row r="13" spans="1:19" ht="21" thickBot="1">
      <c r="A13" s="1"/>
      <c r="B13" s="70"/>
      <c r="C13" s="1"/>
      <c r="D13" s="1"/>
      <c r="E13" s="3"/>
      <c r="F13" s="3"/>
      <c r="G13" s="3"/>
      <c r="H13" s="4"/>
      <c r="I13" s="4"/>
      <c r="J13" s="5"/>
      <c r="K13" s="6" t="s">
        <v>205</v>
      </c>
    </row>
    <row r="14" spans="1:19" ht="21" thickBot="1">
      <c r="A14" s="169" t="s">
        <v>1</v>
      </c>
      <c r="B14" s="170"/>
      <c r="C14" s="171"/>
      <c r="D14" s="8" t="s">
        <v>2</v>
      </c>
      <c r="E14" s="8" t="s">
        <v>3</v>
      </c>
      <c r="F14" s="8" t="s">
        <v>146</v>
      </c>
      <c r="G14" s="7" t="s">
        <v>83</v>
      </c>
      <c r="H14" s="8" t="s">
        <v>4</v>
      </c>
      <c r="I14" s="7" t="s">
        <v>5</v>
      </c>
      <c r="J14" s="7" t="s">
        <v>6</v>
      </c>
      <c r="K14" s="7" t="s">
        <v>7</v>
      </c>
    </row>
    <row r="15" spans="1:19" ht="22.2" customHeight="1">
      <c r="A15" s="71" t="str">
        <f>IFERROR(VLOOKUP($C15,Data!$A$4:$N$11,14,),"")</f>
        <v>520010010000001</v>
      </c>
      <c r="B15" s="34" t="s">
        <v>32</v>
      </c>
      <c r="C15" s="98" t="s">
        <v>26</v>
      </c>
      <c r="D15" s="30" t="s">
        <v>8</v>
      </c>
      <c r="E15" s="31">
        <f>IFERROR(VLOOKUP($C15,Data!$A$4:$I$11,9,),0)</f>
        <v>51.339999999999996</v>
      </c>
      <c r="F15" s="31">
        <f>E15/($D$7*$D$8)</f>
        <v>0.73342857142857143</v>
      </c>
      <c r="G15" s="31">
        <f>IFERROR(VLOOKUP($C15,Data!$A$4:$L$11,10,),0)</f>
        <v>73.929599999999994</v>
      </c>
      <c r="H15" s="31">
        <f>IFERROR(VLOOKUP($C15,Data!$A$4:$I$11,6,),0)</f>
        <v>120</v>
      </c>
      <c r="I15" s="32"/>
      <c r="J15" s="33">
        <f>+(H15-(H15*I15))*E15</f>
        <v>6160.7999999999993</v>
      </c>
      <c r="K15" s="174"/>
    </row>
    <row r="16" spans="1:19" ht="22.2" customHeight="1">
      <c r="A16" s="72" t="str">
        <f>IFERROR(VLOOKUP($C16,Data!$A$4:$N$11,14,),"")</f>
        <v>520010010000001</v>
      </c>
      <c r="B16" s="29" t="s">
        <v>33</v>
      </c>
      <c r="C16" s="99" t="s">
        <v>26</v>
      </c>
      <c r="D16" s="30" t="s">
        <v>8</v>
      </c>
      <c r="E16" s="31">
        <f>IFERROR(VLOOKUP($C16,Data!$A$4:$I$11,9,),0)</f>
        <v>51.339999999999996</v>
      </c>
      <c r="F16" s="31">
        <f t="shared" ref="F16:F36" si="0">E16/($D$7*$D$8)</f>
        <v>0.73342857142857143</v>
      </c>
      <c r="G16" s="31">
        <f>IFERROR(VLOOKUP($C16,Data!$A$4:$L$11,10,),0)</f>
        <v>73.929599999999994</v>
      </c>
      <c r="H16" s="31">
        <f>IFERROR(VLOOKUP($C16,Data!$A$4:$I$11,6,),0)</f>
        <v>120</v>
      </c>
      <c r="I16" s="32"/>
      <c r="J16" s="33">
        <f t="shared" ref="J16:J27" si="1">+(H16-(H16*I16))*E16</f>
        <v>6160.7999999999993</v>
      </c>
      <c r="K16" s="175"/>
    </row>
    <row r="17" spans="1:11" ht="22.2" customHeight="1">
      <c r="A17" s="72" t="str">
        <f>IFERROR(VLOOKUP($C17,Data!$A$20:$N$27,14,),"")</f>
        <v>520010020000001</v>
      </c>
      <c r="B17" s="9" t="s">
        <v>34</v>
      </c>
      <c r="C17" s="100" t="s">
        <v>36</v>
      </c>
      <c r="D17" s="30" t="s">
        <v>8</v>
      </c>
      <c r="E17" s="31">
        <f>IFERROR(VLOOKUP($C17,Data!$A$20:$I$27,9,),0)</f>
        <v>13.129999999999999</v>
      </c>
      <c r="F17" s="31">
        <f t="shared" si="0"/>
        <v>0.18757142857142856</v>
      </c>
      <c r="G17" s="31">
        <f>IFERROR(VLOOKUP($C17,Data!$A$20:$L$27,10,),0)</f>
        <v>17.331599999999998</v>
      </c>
      <c r="H17" s="31">
        <f>IFERROR(VLOOKUP($C17,Data!$A$20:$I$27,6,),0)</f>
        <v>105</v>
      </c>
      <c r="I17" s="32"/>
      <c r="J17" s="33">
        <f t="shared" si="1"/>
        <v>1378.6499999999999</v>
      </c>
      <c r="K17" s="50"/>
    </row>
    <row r="18" spans="1:11" ht="22.2" customHeight="1">
      <c r="A18" s="72" t="str">
        <f>IFERROR(VLOOKUP($C18,Data!$A$20:$N$27,14,),"")</f>
        <v>520010020000001</v>
      </c>
      <c r="B18" s="28" t="s">
        <v>35</v>
      </c>
      <c r="C18" s="101" t="s">
        <v>36</v>
      </c>
      <c r="D18" s="30" t="s">
        <v>8</v>
      </c>
      <c r="E18" s="31">
        <f>IFERROR(VLOOKUP($C18,Data!$A$20:$I$27,9,),0)</f>
        <v>13.129999999999999</v>
      </c>
      <c r="F18" s="31">
        <f t="shared" si="0"/>
        <v>0.18757142857142856</v>
      </c>
      <c r="G18" s="31">
        <f>IFERROR(VLOOKUP($C18,Data!$A$20:$L$27,10,),0)</f>
        <v>17.331599999999998</v>
      </c>
      <c r="H18" s="31">
        <f>IFERROR(VLOOKUP($C18,Data!$A$20:$I$27,6,),0)</f>
        <v>105</v>
      </c>
      <c r="I18" s="32"/>
      <c r="J18" s="33">
        <f t="shared" si="1"/>
        <v>1378.6499999999999</v>
      </c>
      <c r="K18" s="74" t="s">
        <v>188</v>
      </c>
    </row>
    <row r="19" spans="1:11" ht="22.2" customHeight="1">
      <c r="A19" s="72" t="str">
        <f>IFERROR(VLOOKUP($C19,Data!$A$39:$N$68,14,),"")</f>
        <v>100020021300001</v>
      </c>
      <c r="B19" s="28" t="s">
        <v>110</v>
      </c>
      <c r="C19" s="28" t="s">
        <v>49</v>
      </c>
      <c r="D19" s="30" t="s">
        <v>9</v>
      </c>
      <c r="E19" s="31">
        <f>IFERROR(VLOOKUP($C19,Data!$A$39:$I$68,9,),0)</f>
        <v>51.06</v>
      </c>
      <c r="F19" s="31">
        <f t="shared" si="0"/>
        <v>0.72942857142857143</v>
      </c>
      <c r="G19" s="31">
        <f>IFERROR(VLOOKUP($C19,Data!$A$39:$L$68,10,),0)</f>
        <v>1691.1071999999999</v>
      </c>
      <c r="H19" s="31">
        <f>IFERROR(VLOOKUP($C19,Data!$A$39:$I$68,6,),0)</f>
        <v>495</v>
      </c>
      <c r="I19" s="32"/>
      <c r="J19" s="33">
        <f>+(H19-(H19*I19))*E19</f>
        <v>25274.7</v>
      </c>
      <c r="K19" s="52"/>
    </row>
    <row r="20" spans="1:11" ht="22.2" customHeight="1">
      <c r="A20" s="72" t="str">
        <f>IFERROR(VLOOKUP($C20,Data!$A$39:$N$68,14,),"")</f>
        <v>100020020000009</v>
      </c>
      <c r="B20" s="29" t="s">
        <v>111</v>
      </c>
      <c r="C20" s="29" t="s">
        <v>101</v>
      </c>
      <c r="D20" s="30" t="s">
        <v>9</v>
      </c>
      <c r="E20" s="31">
        <f>IFERROR(VLOOKUP($C20,Data!$A$39:$I$68,9,),0)</f>
        <v>51.06</v>
      </c>
      <c r="F20" s="31">
        <f t="shared" si="0"/>
        <v>0.72942857142857143</v>
      </c>
      <c r="G20" s="31">
        <f>IFERROR(VLOOKUP($C20,Data!$A$39:$L$68,10,),0)</f>
        <v>1493.5050000000001</v>
      </c>
      <c r="H20" s="31">
        <f>IFERROR(VLOOKUP($C20,Data!$A$39:$I$68,6,),0)</f>
        <v>446</v>
      </c>
      <c r="I20" s="32"/>
      <c r="J20" s="33">
        <f t="shared" ref="J20" si="2">+(H20-(H20*I20))*E20</f>
        <v>22772.760000000002</v>
      </c>
      <c r="K20" s="52"/>
    </row>
    <row r="21" spans="1:11" ht="22.2" customHeight="1">
      <c r="A21" s="72" t="str">
        <f>IFERROR(VLOOKUP($C21,Data!$A$39:$N$68,14,),"")</f>
        <v/>
      </c>
      <c r="B21" s="29" t="s">
        <v>112</v>
      </c>
      <c r="C21" s="29"/>
      <c r="D21" s="30" t="s">
        <v>9</v>
      </c>
      <c r="E21" s="31">
        <f>IFERROR(VLOOKUP($C21,Data!$A$39:$I$68,9,),0)</f>
        <v>0</v>
      </c>
      <c r="F21" s="31">
        <f t="shared" si="0"/>
        <v>0</v>
      </c>
      <c r="G21" s="31">
        <f>IFERROR(VLOOKUP($C21,Data!$A$39:$L$68,10,),0)</f>
        <v>0</v>
      </c>
      <c r="H21" s="31">
        <f>IFERROR(VLOOKUP($C21,Data!$A$39:$I$68,6,),0)</f>
        <v>0</v>
      </c>
      <c r="I21" s="32"/>
      <c r="J21" s="33">
        <f t="shared" si="1"/>
        <v>0</v>
      </c>
      <c r="K21" s="52"/>
    </row>
    <row r="22" spans="1:11" ht="22.2" hidden="1" customHeight="1">
      <c r="A22" s="72" t="str">
        <f>IFERROR(VLOOKUP($C22,Data!$A$71:$N$75,14,),"")</f>
        <v/>
      </c>
      <c r="B22" s="29" t="s">
        <v>56</v>
      </c>
      <c r="C22" s="29"/>
      <c r="D22" s="30" t="s">
        <v>9</v>
      </c>
      <c r="E22" s="31">
        <f>IFERROR(VLOOKUP($C22,Data!$A$71:$I$75,9,),0)</f>
        <v>0</v>
      </c>
      <c r="F22" s="31">
        <f t="shared" si="0"/>
        <v>0</v>
      </c>
      <c r="G22" s="31">
        <f>IFERROR(VLOOKUP($C22,Data!$A$71:$L$75,10,),0)</f>
        <v>0</v>
      </c>
      <c r="H22" s="31">
        <f>IFERROR(VLOOKUP($C22,Data!$A$71:$I$75,6,),0)</f>
        <v>0</v>
      </c>
      <c r="I22" s="32"/>
      <c r="J22" s="33">
        <f t="shared" si="1"/>
        <v>0</v>
      </c>
      <c r="K22" s="52"/>
    </row>
    <row r="23" spans="1:11" ht="22.2" hidden="1" customHeight="1">
      <c r="A23" s="72" t="str">
        <f>IFERROR(VLOOKUP($C23,Data!$A$78:$N$79,14,),"")</f>
        <v/>
      </c>
      <c r="B23" s="29" t="s">
        <v>57</v>
      </c>
      <c r="C23" s="29"/>
      <c r="D23" s="30" t="s">
        <v>73</v>
      </c>
      <c r="E23" s="31">
        <f>IFERROR(VLOOKUP($C23,Data!$A$78:$I$79,9,),0)</f>
        <v>0</v>
      </c>
      <c r="F23" s="31">
        <f t="shared" si="0"/>
        <v>0</v>
      </c>
      <c r="G23" s="31">
        <f>IFERROR(VLOOKUP($C23,Data!$A$78:$L$79,10,),0)</f>
        <v>0</v>
      </c>
      <c r="H23" s="31">
        <f>IFERROR(VLOOKUP($C23,Data!$A$78:$I$79,6,),0)</f>
        <v>0</v>
      </c>
      <c r="I23" s="32"/>
      <c r="J23" s="33">
        <f t="shared" si="1"/>
        <v>0</v>
      </c>
      <c r="K23" s="52"/>
    </row>
    <row r="24" spans="1:11" ht="22.2" customHeight="1">
      <c r="A24" s="72" t="str">
        <f>IFERROR(VLOOKUP($C24,Data!$A$82:$N$83,14,),"")</f>
        <v>520010030000004</v>
      </c>
      <c r="B24" s="35" t="s">
        <v>58</v>
      </c>
      <c r="C24" s="97" t="s">
        <v>71</v>
      </c>
      <c r="D24" s="30" t="s">
        <v>73</v>
      </c>
      <c r="E24" s="31">
        <f>IFERROR(VLOOKUP($C24,Data!$A$82:$I$83,9,),0)</f>
        <v>16.8</v>
      </c>
      <c r="F24" s="31">
        <f t="shared" si="0"/>
        <v>0.24000000000000002</v>
      </c>
      <c r="G24" s="31">
        <f>IFERROR(VLOOKUP($C24,Data!$A$82:$L$83,10,),0)</f>
        <v>10.920000000000002</v>
      </c>
      <c r="H24" s="31">
        <f>IFERROR(VLOOKUP($C24,Data!$A$82:$I$83,6,),0)</f>
        <v>110</v>
      </c>
      <c r="I24" s="32"/>
      <c r="J24" s="33">
        <f>+(H24-(H24*I24))*E24</f>
        <v>1848</v>
      </c>
      <c r="K24" s="52"/>
    </row>
    <row r="25" spans="1:11" ht="22.2" customHeight="1">
      <c r="A25" s="72" t="str">
        <f>IFERROR(VLOOKUP($C25,Data!$A$86:$N$88,14,),"")</f>
        <v>520080070000001</v>
      </c>
      <c r="B25" s="34" t="s">
        <v>113</v>
      </c>
      <c r="C25" s="102" t="s">
        <v>74</v>
      </c>
      <c r="D25" s="30" t="s">
        <v>9</v>
      </c>
      <c r="E25" s="31">
        <f>IFERROR(VLOOKUP($C25,Data!$A$86:$I$88,9,),0)</f>
        <v>17.5</v>
      </c>
      <c r="F25" s="31">
        <f t="shared" si="0"/>
        <v>0.25</v>
      </c>
      <c r="G25" s="31">
        <f>IFERROR(VLOOKUP($C25,Data!$A$86:$L$88,10,),0)</f>
        <v>0.17500000000000002</v>
      </c>
      <c r="H25" s="31">
        <f>IFERROR(VLOOKUP($C25,Data!$A$86:$I$88,6,),0)</f>
        <v>2</v>
      </c>
      <c r="I25" s="32"/>
      <c r="J25" s="33">
        <f t="shared" ref="J25" si="3">+(H25-(H25*I25))*E25</f>
        <v>35</v>
      </c>
      <c r="K25" s="52"/>
    </row>
    <row r="26" spans="1:11" ht="22.2" customHeight="1">
      <c r="A26" s="72" t="str">
        <f>IFERROR(VLOOKUP($C26,Data!$A$86:$N$88,14,),"")</f>
        <v>520080070000001</v>
      </c>
      <c r="B26" s="34" t="s">
        <v>114</v>
      </c>
      <c r="C26" s="102" t="s">
        <v>74</v>
      </c>
      <c r="D26" s="30" t="s">
        <v>9</v>
      </c>
      <c r="E26" s="31">
        <f>IFERROR(VLOOKUP($C26,Data!$A$86:$I$88,9,),0)</f>
        <v>17.5</v>
      </c>
      <c r="F26" s="31">
        <f t="shared" si="0"/>
        <v>0.25</v>
      </c>
      <c r="G26" s="31">
        <f>IFERROR(VLOOKUP($C26,Data!$A$86:$L$88,10,),0)</f>
        <v>0.17500000000000002</v>
      </c>
      <c r="H26" s="31">
        <f>IFERROR(VLOOKUP($C26,Data!$A$86:$I$88,6,),0)</f>
        <v>2</v>
      </c>
      <c r="I26" s="32"/>
      <c r="J26" s="33">
        <f t="shared" si="1"/>
        <v>35</v>
      </c>
      <c r="K26" s="52"/>
    </row>
    <row r="27" spans="1:11" ht="22.2" customHeight="1">
      <c r="A27" s="72" t="str">
        <f>IFERROR(VLOOKUP($C27,Data!$A$91:$N$95,14,),"")</f>
        <v>520080080000011</v>
      </c>
      <c r="B27" s="34" t="s">
        <v>60</v>
      </c>
      <c r="C27" s="44" t="s">
        <v>78</v>
      </c>
      <c r="D27" s="36" t="s">
        <v>99</v>
      </c>
      <c r="E27" s="31">
        <f>IFERROR(VLOOKUP($C27,Data!$A$91:$I$95,9,),0)</f>
        <v>4.0999999999999996</v>
      </c>
      <c r="F27" s="31">
        <f t="shared" si="0"/>
        <v>5.8571428571428566E-2</v>
      </c>
      <c r="G27" s="31">
        <f>IFERROR(VLOOKUP($C27,Data!$A$91:$L$95,10,),0)</f>
        <v>0</v>
      </c>
      <c r="H27" s="31">
        <f>IFERROR(VLOOKUP($C27,Data!$A$91:$I$95,6,),0)</f>
        <v>550</v>
      </c>
      <c r="I27" s="32"/>
      <c r="J27" s="33">
        <f t="shared" si="1"/>
        <v>2255</v>
      </c>
      <c r="K27" s="38"/>
    </row>
    <row r="28" spans="1:11" ht="22.2" customHeight="1">
      <c r="A28" s="72" t="str">
        <f>IFERROR(VLOOKUP($C28,Data!$A$98:$N$102,14,),"")</f>
        <v>520080080000012</v>
      </c>
      <c r="B28" s="35" t="s">
        <v>61</v>
      </c>
      <c r="C28" s="45" t="s">
        <v>79</v>
      </c>
      <c r="D28" s="36" t="s">
        <v>99</v>
      </c>
      <c r="E28" s="31">
        <f>IFERROR(VLOOKUP($C28,Data!$A$98:$I$102,9,),0)</f>
        <v>4.0999999999999996</v>
      </c>
      <c r="F28" s="31">
        <f t="shared" si="0"/>
        <v>5.8571428571428566E-2</v>
      </c>
      <c r="G28" s="31">
        <f>IFERROR(VLOOKUP($C28,Data!$A$98:$L$102,10,),0)</f>
        <v>0</v>
      </c>
      <c r="H28" s="31">
        <f>IFERROR(VLOOKUP($C28,Data!$A$98:$I$102,6,),0)</f>
        <v>600</v>
      </c>
      <c r="I28" s="32"/>
      <c r="J28" s="33">
        <f>+(H28-(H28*I28))*E28</f>
        <v>2460</v>
      </c>
      <c r="K28" s="37"/>
    </row>
    <row r="29" spans="1:11" ht="22.2" customHeight="1">
      <c r="A29" s="72" t="str">
        <f>IFERROR(VLOOKUP($C29,Data!$A$105:$N$106,14,),"")</f>
        <v>520080080000004</v>
      </c>
      <c r="B29" s="35" t="s">
        <v>62</v>
      </c>
      <c r="C29" s="103" t="s">
        <v>82</v>
      </c>
      <c r="D29" s="36" t="s">
        <v>9</v>
      </c>
      <c r="E29" s="31">
        <f>IFERROR(VLOOKUP($C29,Data!$A$105:$I$106,9,),0)</f>
        <v>0.69000000000000006</v>
      </c>
      <c r="F29" s="31">
        <f t="shared" si="0"/>
        <v>9.8571428571428577E-3</v>
      </c>
      <c r="G29" s="31">
        <f>IFERROR(VLOOKUP($C29,Data!$A$105:$L$106,10,),0)</f>
        <v>0.69000000000000006</v>
      </c>
      <c r="H29" s="31">
        <f>IFERROR(VLOOKUP($C29,Data!$A$105:$I$106,6,),0)</f>
        <v>320</v>
      </c>
      <c r="I29" s="32"/>
      <c r="J29" s="33">
        <f>+(H29-(H29*I29))*E29</f>
        <v>220.8</v>
      </c>
      <c r="K29" s="37"/>
    </row>
    <row r="30" spans="1:11" ht="22.2" customHeight="1">
      <c r="A30" s="72" t="str">
        <f>IFERROR(VLOOKUP($C30,Data!$A$109:$N$111,14,),"")</f>
        <v>410010010100001</v>
      </c>
      <c r="B30" s="11" t="s">
        <v>63</v>
      </c>
      <c r="C30" s="46" t="s">
        <v>84</v>
      </c>
      <c r="D30" s="10" t="s">
        <v>97</v>
      </c>
      <c r="E30" s="31">
        <f>IFERROR(VLOOKUP($C30,Data!$A$109:$I$111,9,),0)</f>
        <v>2.21</v>
      </c>
      <c r="F30" s="31">
        <f t="shared" si="0"/>
        <v>3.157142857142857E-2</v>
      </c>
      <c r="G30" s="31">
        <f>IFERROR(VLOOKUP($C30,Data!$A$109:$L$111,10,),0)</f>
        <v>55.25</v>
      </c>
      <c r="H30" s="31">
        <f>IFERROR(VLOOKUP($C30,Data!$A$109:$I$111,6,),0)</f>
        <v>212</v>
      </c>
      <c r="I30" s="32"/>
      <c r="J30" s="33">
        <f t="shared" ref="J30:J36" si="4">+(H30-(H30*I30))*E30</f>
        <v>468.52</v>
      </c>
      <c r="K30" s="12"/>
    </row>
    <row r="31" spans="1:11" ht="22.2" customHeight="1">
      <c r="A31" s="72" t="str">
        <f>IFERROR(VLOOKUP($C31,Data!$A$113:$N$117,14,),"")</f>
        <v/>
      </c>
      <c r="B31" s="11" t="s">
        <v>93</v>
      </c>
      <c r="C31" s="46" t="s">
        <v>96</v>
      </c>
      <c r="D31" s="10" t="s">
        <v>9</v>
      </c>
      <c r="E31" s="31">
        <f>IFERROR(VLOOKUP($C31,Data!$A$113:$I$117,9,),0)</f>
        <v>0</v>
      </c>
      <c r="F31" s="31">
        <f t="shared" si="0"/>
        <v>0</v>
      </c>
      <c r="G31" s="31">
        <f>IFERROR(VLOOKUP($C31,Data!$A$113:$L$117,10,),0)</f>
        <v>0</v>
      </c>
      <c r="H31" s="31">
        <f>IFERROR(VLOOKUP($C31,Data!$A$113:$I$117,6,),0)</f>
        <v>0</v>
      </c>
      <c r="I31" s="32"/>
      <c r="J31" s="33">
        <f t="shared" si="4"/>
        <v>0</v>
      </c>
      <c r="K31" s="12"/>
    </row>
    <row r="32" spans="1:11" ht="22.2" customHeight="1">
      <c r="A32" s="72" t="str">
        <f>IFERROR(VLOOKUP($C32,Data!$A$119:$N$120,14,),"")</f>
        <v>520088260000010</v>
      </c>
      <c r="B32" s="9" t="s">
        <v>64</v>
      </c>
      <c r="C32" s="9" t="s">
        <v>142</v>
      </c>
      <c r="D32" s="10" t="s">
        <v>9</v>
      </c>
      <c r="E32" s="31">
        <f>IFERROR(VLOOKUP($C32,Data!$A$119:$I$120,9,),0)</f>
        <v>6.13</v>
      </c>
      <c r="F32" s="31">
        <f t="shared" si="0"/>
        <v>8.7571428571428564E-2</v>
      </c>
      <c r="G32" s="31">
        <f>IFERROR(VLOOKUP($C32,Data!$A$119:$L$120,10,),0)</f>
        <v>147.12</v>
      </c>
      <c r="H32" s="31">
        <f>IFERROR(VLOOKUP($C32,Data!$A$119:$I$120,6,),0)</f>
        <v>3140</v>
      </c>
      <c r="I32" s="32"/>
      <c r="J32" s="33">
        <f t="shared" si="4"/>
        <v>19248.2</v>
      </c>
      <c r="K32" s="51"/>
    </row>
    <row r="33" spans="1:11" ht="22.2" customHeight="1">
      <c r="A33" s="72" t="str">
        <f>IFERROR(VLOOKUP($C33,Data!$A$123:$N$131,14,),"")</f>
        <v/>
      </c>
      <c r="B33" s="9" t="s">
        <v>65</v>
      </c>
      <c r="C33" s="9" t="s">
        <v>88</v>
      </c>
      <c r="D33" s="10" t="s">
        <v>9</v>
      </c>
      <c r="E33" s="31">
        <f>IFERROR(VLOOKUP($C33,Data!$A$123:$I$126,9,),0)</f>
        <v>0</v>
      </c>
      <c r="F33" s="31">
        <f t="shared" si="0"/>
        <v>0</v>
      </c>
      <c r="G33" s="31">
        <f>IFERROR(VLOOKUP($C33,Data!$A$123:$L$126,10,),0)</f>
        <v>0</v>
      </c>
      <c r="H33" s="31">
        <f>IFERROR(VLOOKUP($C33,Data!$A$123:$I$126,6,),0)</f>
        <v>0</v>
      </c>
      <c r="I33" s="32"/>
      <c r="J33" s="33">
        <f>+(H33-(H33*I33))*E33</f>
        <v>0</v>
      </c>
      <c r="K33" s="86" t="s">
        <v>219</v>
      </c>
    </row>
    <row r="34" spans="1:11" ht="22.2" customHeight="1">
      <c r="A34" s="87" t="str">
        <f>IFERROR(VLOOKUP($C34,Data!$A$113:$N$117,14,),"")</f>
        <v/>
      </c>
      <c r="B34" s="88" t="s">
        <v>147</v>
      </c>
      <c r="C34" s="89"/>
      <c r="D34" s="90" t="s">
        <v>116</v>
      </c>
      <c r="E34" s="91">
        <f>IFERROR(VLOOKUP($C34,Data!$A$113:$I$117,9,),0)</f>
        <v>0</v>
      </c>
      <c r="F34" s="91">
        <f t="shared" si="0"/>
        <v>0</v>
      </c>
      <c r="G34" s="91">
        <f>IFERROR(VLOOKUP($C34,Data!$A$113:$L$117,10,),0)</f>
        <v>0</v>
      </c>
      <c r="H34" s="91">
        <f>IFERROR(VLOOKUP($C34,Data!$A$113:$I$117,6,),0)</f>
        <v>0</v>
      </c>
      <c r="I34" s="92"/>
      <c r="J34" s="93">
        <f t="shared" si="4"/>
        <v>0</v>
      </c>
      <c r="K34" s="94" t="s">
        <v>191</v>
      </c>
    </row>
    <row r="35" spans="1:11" ht="22.2" customHeight="1">
      <c r="A35" s="87" t="str">
        <f>IFERROR(VLOOKUP($C35,Data!$A$123:$N$126,14,),"")</f>
        <v/>
      </c>
      <c r="B35" s="85" t="s">
        <v>140</v>
      </c>
      <c r="C35" s="85"/>
      <c r="D35" s="90" t="s">
        <v>9</v>
      </c>
      <c r="E35" s="91">
        <f>IFERROR(VLOOKUP($C35,Data!$A$123:$I$132,9,),0)</f>
        <v>0</v>
      </c>
      <c r="F35" s="91">
        <f t="shared" si="0"/>
        <v>0</v>
      </c>
      <c r="G35" s="91">
        <f>IFERROR(VLOOKUP($C35,Data!$A$123:$L$132,10,),0)</f>
        <v>0</v>
      </c>
      <c r="H35" s="91">
        <f>IFERROR(VLOOKUP($C35,Data!$A$123:$I$132,6,),0)</f>
        <v>0</v>
      </c>
      <c r="I35" s="92"/>
      <c r="J35" s="93">
        <f t="shared" si="4"/>
        <v>0</v>
      </c>
      <c r="K35" s="94" t="s">
        <v>191</v>
      </c>
    </row>
    <row r="36" spans="1:11" ht="22.2" customHeight="1">
      <c r="A36" s="87" t="str">
        <f>IFERROR(VLOOKUP($C36,Data!$A$135:$N$139,14,),"")</f>
        <v/>
      </c>
      <c r="B36" s="95" t="s">
        <v>189</v>
      </c>
      <c r="C36" s="95"/>
      <c r="D36" s="90" t="s">
        <v>9</v>
      </c>
      <c r="E36" s="91">
        <f>IFERROR(VLOOKUP($C36,Data!$A$135:$L$139,9,),0)</f>
        <v>0</v>
      </c>
      <c r="F36" s="91">
        <f t="shared" si="0"/>
        <v>0</v>
      </c>
      <c r="G36" s="91">
        <f>IFERROR(VLOOKUP($C36,Data!$A$135:$L$139,10,),0)</f>
        <v>0</v>
      </c>
      <c r="H36" s="91">
        <f>IFERROR(VLOOKUP($C36,Data!$A$135:$L$139,6,),0)</f>
        <v>0</v>
      </c>
      <c r="I36" s="96"/>
      <c r="J36" s="93">
        <f t="shared" si="4"/>
        <v>0</v>
      </c>
      <c r="K36" s="94" t="s">
        <v>190</v>
      </c>
    </row>
    <row r="37" spans="1:11" ht="22.2" customHeight="1" thickBot="1">
      <c r="A37" s="73"/>
      <c r="B37" s="13"/>
      <c r="C37" s="13"/>
      <c r="D37" s="14"/>
      <c r="E37" s="15"/>
      <c r="F37" s="61"/>
      <c r="G37" s="61"/>
      <c r="H37" s="16"/>
      <c r="I37" s="16"/>
      <c r="J37" s="16"/>
      <c r="K37" s="54"/>
    </row>
    <row r="38" spans="1:11" ht="21" thickBot="1">
      <c r="A38" s="18" t="s">
        <v>10</v>
      </c>
      <c r="C38" s="18"/>
      <c r="F38" s="19" t="s">
        <v>134</v>
      </c>
      <c r="G38" s="62">
        <f>SUM($G15:$G37)</f>
        <v>3581.4646000000007</v>
      </c>
      <c r="H38" s="19" t="s">
        <v>11</v>
      </c>
      <c r="I38" s="19"/>
      <c r="J38" s="20">
        <f t="array" ref="J38">SUM(IFERROR(J15:J37,0))</f>
        <v>89696.88</v>
      </c>
      <c r="K38" s="17"/>
    </row>
    <row r="39" spans="1:11" ht="20.399999999999999">
      <c r="A39" s="18"/>
      <c r="C39" s="18"/>
      <c r="F39" s="19" t="s">
        <v>133</v>
      </c>
      <c r="G39" s="62">
        <f>$G$38/($D$7*$D$8)</f>
        <v>51.16378000000001</v>
      </c>
      <c r="H39" s="19"/>
      <c r="I39" s="21" t="s">
        <v>12</v>
      </c>
      <c r="J39" s="22">
        <f>$J$38/($D$7*$D$8)</f>
        <v>1281.384</v>
      </c>
      <c r="K39" s="23" t="s">
        <v>13</v>
      </c>
    </row>
    <row r="40" spans="1:11" ht="19.8">
      <c r="A40" s="24" t="s">
        <v>14</v>
      </c>
      <c r="C40" s="24"/>
      <c r="D40" s="25"/>
      <c r="E40" s="26"/>
      <c r="F40" s="26"/>
      <c r="G40" s="26"/>
      <c r="H40" s="26"/>
      <c r="I40" s="26"/>
      <c r="J40" s="25"/>
      <c r="K40" s="26"/>
    </row>
    <row r="41" spans="1:11" ht="21">
      <c r="A41" s="27" t="s">
        <v>15</v>
      </c>
      <c r="C41" s="27"/>
      <c r="D41" s="25"/>
      <c r="E41" s="26"/>
      <c r="F41" s="26"/>
      <c r="G41" s="26"/>
      <c r="J41" s="25"/>
      <c r="K41" s="26"/>
    </row>
    <row r="42" spans="1:11" ht="21">
      <c r="A42" s="27" t="s">
        <v>16</v>
      </c>
      <c r="C42" s="27"/>
      <c r="D42" s="25"/>
      <c r="E42" s="26"/>
      <c r="F42" s="26"/>
      <c r="G42" s="26"/>
      <c r="J42" s="25"/>
      <c r="K42" s="26"/>
    </row>
    <row r="43" spans="1:11" ht="21">
      <c r="A43" s="27" t="s">
        <v>17</v>
      </c>
      <c r="C43" s="27"/>
      <c r="D43" s="25"/>
    </row>
    <row r="44" spans="1:11" ht="21">
      <c r="B44" s="27"/>
      <c r="C44" s="27"/>
    </row>
  </sheetData>
  <mergeCells count="5">
    <mergeCell ref="K15:K16"/>
    <mergeCell ref="A2:K2"/>
    <mergeCell ref="A1:K1"/>
    <mergeCell ref="A3:K3"/>
    <mergeCell ref="A14:C14"/>
  </mergeCells>
  <dataValidations count="2">
    <dataValidation type="list" allowBlank="1" showInputMessage="1" showErrorMessage="1" sqref="D5">
      <formula1>Frames</formula1>
    </dataValidation>
    <dataValidation type="list" allowBlank="1" showInputMessage="1" showErrorMessage="1" sqref="C15:C16">
      <formula1>C_Stud</formula1>
    </dataValidation>
  </dataValidations>
  <pageMargins left="0.7" right="0.7" top="0.75" bottom="0.75" header="0.3" footer="0.3"/>
  <pageSetup paperSize="9" scale="50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>
          <x14:formula1>
            <xm:f>Data!$A$105:$A$106</xm:f>
          </x14:formula1>
          <xm:sqref>C29</xm:sqref>
        </x14:dataValidation>
        <x14:dataValidation type="list" allowBlank="1" showInputMessage="1" showErrorMessage="1">
          <x14:formula1>
            <xm:f>Data!$A$98:$A$102</xm:f>
          </x14:formula1>
          <xm:sqref>C28</xm:sqref>
        </x14:dataValidation>
        <x14:dataValidation type="list" allowBlank="1" showInputMessage="1" showErrorMessage="1">
          <x14:formula1>
            <xm:f>Data!$A$91:$A$95</xm:f>
          </x14:formula1>
          <xm:sqref>C27</xm:sqref>
        </x14:dataValidation>
        <x14:dataValidation type="list" allowBlank="1" showInputMessage="1" showErrorMessage="1">
          <x14:formula1>
            <xm:f>Data!$A$86:$A$88</xm:f>
          </x14:formula1>
          <xm:sqref>C25:C26</xm:sqref>
        </x14:dataValidation>
        <x14:dataValidation type="list" allowBlank="1" showInputMessage="1" showErrorMessage="1">
          <x14:formula1>
            <xm:f>Data!$A$82:$A$83</xm:f>
          </x14:formula1>
          <xm:sqref>C24</xm:sqref>
        </x14:dataValidation>
        <x14:dataValidation type="list" allowBlank="1" showInputMessage="1" showErrorMessage="1">
          <x14:formula1>
            <xm:f>Data!$A$78:$A$79</xm:f>
          </x14:formula1>
          <xm:sqref>C23</xm:sqref>
        </x14:dataValidation>
        <x14:dataValidation type="list" allowBlank="1" showInputMessage="1" showErrorMessage="1">
          <x14:formula1>
            <xm:f>Data!$A$71:$A$75</xm:f>
          </x14:formula1>
          <xm:sqref>C22</xm:sqref>
        </x14:dataValidation>
        <x14:dataValidation type="list" allowBlank="1" showInputMessage="1" showErrorMessage="1">
          <x14:formula1>
            <xm:f>Data!$A$20:$A$23</xm:f>
          </x14:formula1>
          <xm:sqref>C18</xm:sqref>
        </x14:dataValidation>
        <x14:dataValidation type="list" allowBlank="1" showInputMessage="1" showErrorMessage="1">
          <x14:formula1>
            <xm:f>Data!$A$20:$A$36</xm:f>
          </x14:formula1>
          <xm:sqref>C17</xm:sqref>
        </x14:dataValidation>
        <x14:dataValidation type="list" allowBlank="1" showInputMessage="1" showErrorMessage="1">
          <x14:formula1>
            <xm:f>Data!$A$123:$A$132</xm:f>
          </x14:formula1>
          <xm:sqref>C35</xm:sqref>
        </x14:dataValidation>
        <x14:dataValidation type="list" allowBlank="1" showInputMessage="1" showErrorMessage="1">
          <x14:formula1>
            <xm:f>Data!$A$135:$A$139</xm:f>
          </x14:formula1>
          <xm:sqref>C36</xm:sqref>
        </x14:dataValidation>
        <x14:dataValidation type="list" allowBlank="1" showInputMessage="1" showErrorMessage="1">
          <x14:formula1>
            <xm:f>Data!$A$123:$A$132</xm:f>
          </x14:formula1>
          <xm:sqref>C33</xm:sqref>
        </x14:dataValidation>
        <x14:dataValidation type="list" allowBlank="1" showInputMessage="1" showErrorMessage="1">
          <x14:formula1>
            <xm:f>Data!$A$119:$A$121</xm:f>
          </x14:formula1>
          <xm:sqref>C32</xm:sqref>
        </x14:dataValidation>
        <x14:dataValidation type="list" allowBlank="1" showInputMessage="1" showErrorMessage="1">
          <x14:formula1>
            <xm:f>Data!$A$109:$A$111</xm:f>
          </x14:formula1>
          <xm:sqref>C30</xm:sqref>
        </x14:dataValidation>
        <x14:dataValidation type="list" allowBlank="1" showInputMessage="1" showErrorMessage="1">
          <x14:formula1>
            <xm:f>Data!$A$39:$A$68</xm:f>
          </x14:formula1>
          <xm:sqref>C19:C21</xm:sqref>
        </x14:dataValidation>
        <x14:dataValidation type="list" allowBlank="1" showInputMessage="1" showErrorMessage="1">
          <x14:formula1>
            <xm:f>Data!$A$113:$A$117</xm:f>
          </x14:formula1>
          <xm:sqref>C31</xm:sqref>
        </x14:dataValidation>
        <x14:dataValidation type="list" allowBlank="1" showInputMessage="1" showErrorMessage="1">
          <x14:formula1>
            <xm:f>Data!$A$113:$A$117</xm:f>
          </x14:formula1>
          <xm:sqref>C34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42"/>
  <sheetViews>
    <sheetView zoomScale="90" zoomScaleNormal="90" workbookViewId="0">
      <selection activeCell="G10" sqref="G10"/>
    </sheetView>
  </sheetViews>
  <sheetFormatPr defaultRowHeight="14.4"/>
  <cols>
    <col min="1" max="1" width="17.5546875" customWidth="1"/>
    <col min="2" max="2" width="21.33203125" customWidth="1"/>
    <col min="3" max="3" width="42.109375" customWidth="1"/>
    <col min="4" max="4" width="17.44140625" customWidth="1"/>
    <col min="5" max="7" width="13.33203125" customWidth="1"/>
    <col min="8" max="8" width="14.5546875" customWidth="1"/>
    <col min="9" max="9" width="9.33203125" customWidth="1"/>
    <col min="10" max="10" width="12" customWidth="1"/>
    <col min="11" max="11" width="22.88671875" bestFit="1" customWidth="1"/>
    <col min="261" max="261" width="51.6640625" customWidth="1"/>
    <col min="262" max="262" width="11.109375" customWidth="1"/>
    <col min="263" max="263" width="13.33203125" customWidth="1"/>
    <col min="264" max="264" width="14.5546875" customWidth="1"/>
    <col min="265" max="265" width="9.33203125" customWidth="1"/>
    <col min="266" max="266" width="12" customWidth="1"/>
    <col min="267" max="267" width="41.44140625" bestFit="1" customWidth="1"/>
    <col min="517" max="517" width="51.6640625" customWidth="1"/>
    <col min="518" max="518" width="11.109375" customWidth="1"/>
    <col min="519" max="519" width="13.33203125" customWidth="1"/>
    <col min="520" max="520" width="14.5546875" customWidth="1"/>
    <col min="521" max="521" width="9.33203125" customWidth="1"/>
    <col min="522" max="522" width="12" customWidth="1"/>
    <col min="523" max="523" width="41.44140625" bestFit="1" customWidth="1"/>
    <col min="773" max="773" width="51.6640625" customWidth="1"/>
    <col min="774" max="774" width="11.109375" customWidth="1"/>
    <col min="775" max="775" width="13.33203125" customWidth="1"/>
    <col min="776" max="776" width="14.5546875" customWidth="1"/>
    <col min="777" max="777" width="9.33203125" customWidth="1"/>
    <col min="778" max="778" width="12" customWidth="1"/>
    <col min="779" max="779" width="41.44140625" bestFit="1" customWidth="1"/>
    <col min="1029" max="1029" width="51.6640625" customWidth="1"/>
    <col min="1030" max="1030" width="11.109375" customWidth="1"/>
    <col min="1031" max="1031" width="13.33203125" customWidth="1"/>
    <col min="1032" max="1032" width="14.5546875" customWidth="1"/>
    <col min="1033" max="1033" width="9.33203125" customWidth="1"/>
    <col min="1034" max="1034" width="12" customWidth="1"/>
    <col min="1035" max="1035" width="41.44140625" bestFit="1" customWidth="1"/>
    <col min="1285" max="1285" width="51.6640625" customWidth="1"/>
    <col min="1286" max="1286" width="11.109375" customWidth="1"/>
    <col min="1287" max="1287" width="13.33203125" customWidth="1"/>
    <col min="1288" max="1288" width="14.5546875" customWidth="1"/>
    <col min="1289" max="1289" width="9.33203125" customWidth="1"/>
    <col min="1290" max="1290" width="12" customWidth="1"/>
    <col min="1291" max="1291" width="41.44140625" bestFit="1" customWidth="1"/>
    <col min="1541" max="1541" width="51.6640625" customWidth="1"/>
    <col min="1542" max="1542" width="11.109375" customWidth="1"/>
    <col min="1543" max="1543" width="13.33203125" customWidth="1"/>
    <col min="1544" max="1544" width="14.5546875" customWidth="1"/>
    <col min="1545" max="1545" width="9.33203125" customWidth="1"/>
    <col min="1546" max="1546" width="12" customWidth="1"/>
    <col min="1547" max="1547" width="41.44140625" bestFit="1" customWidth="1"/>
    <col min="1797" max="1797" width="51.6640625" customWidth="1"/>
    <col min="1798" max="1798" width="11.109375" customWidth="1"/>
    <col min="1799" max="1799" width="13.33203125" customWidth="1"/>
    <col min="1800" max="1800" width="14.5546875" customWidth="1"/>
    <col min="1801" max="1801" width="9.33203125" customWidth="1"/>
    <col min="1802" max="1802" width="12" customWidth="1"/>
    <col min="1803" max="1803" width="41.44140625" bestFit="1" customWidth="1"/>
    <col min="2053" max="2053" width="51.6640625" customWidth="1"/>
    <col min="2054" max="2054" width="11.109375" customWidth="1"/>
    <col min="2055" max="2055" width="13.33203125" customWidth="1"/>
    <col min="2056" max="2056" width="14.5546875" customWidth="1"/>
    <col min="2057" max="2057" width="9.33203125" customWidth="1"/>
    <col min="2058" max="2058" width="12" customWidth="1"/>
    <col min="2059" max="2059" width="41.44140625" bestFit="1" customWidth="1"/>
    <col min="2309" max="2309" width="51.6640625" customWidth="1"/>
    <col min="2310" max="2310" width="11.109375" customWidth="1"/>
    <col min="2311" max="2311" width="13.33203125" customWidth="1"/>
    <col min="2312" max="2312" width="14.5546875" customWidth="1"/>
    <col min="2313" max="2313" width="9.33203125" customWidth="1"/>
    <col min="2314" max="2314" width="12" customWidth="1"/>
    <col min="2315" max="2315" width="41.44140625" bestFit="1" customWidth="1"/>
    <col min="2565" max="2565" width="51.6640625" customWidth="1"/>
    <col min="2566" max="2566" width="11.109375" customWidth="1"/>
    <col min="2567" max="2567" width="13.33203125" customWidth="1"/>
    <col min="2568" max="2568" width="14.5546875" customWidth="1"/>
    <col min="2569" max="2569" width="9.33203125" customWidth="1"/>
    <col min="2570" max="2570" width="12" customWidth="1"/>
    <col min="2571" max="2571" width="41.44140625" bestFit="1" customWidth="1"/>
    <col min="2821" max="2821" width="51.6640625" customWidth="1"/>
    <col min="2822" max="2822" width="11.109375" customWidth="1"/>
    <col min="2823" max="2823" width="13.33203125" customWidth="1"/>
    <col min="2824" max="2824" width="14.5546875" customWidth="1"/>
    <col min="2825" max="2825" width="9.33203125" customWidth="1"/>
    <col min="2826" max="2826" width="12" customWidth="1"/>
    <col min="2827" max="2827" width="41.44140625" bestFit="1" customWidth="1"/>
    <col min="3077" max="3077" width="51.6640625" customWidth="1"/>
    <col min="3078" max="3078" width="11.109375" customWidth="1"/>
    <col min="3079" max="3079" width="13.33203125" customWidth="1"/>
    <col min="3080" max="3080" width="14.5546875" customWidth="1"/>
    <col min="3081" max="3081" width="9.33203125" customWidth="1"/>
    <col min="3082" max="3082" width="12" customWidth="1"/>
    <col min="3083" max="3083" width="41.44140625" bestFit="1" customWidth="1"/>
    <col min="3333" max="3333" width="51.6640625" customWidth="1"/>
    <col min="3334" max="3334" width="11.109375" customWidth="1"/>
    <col min="3335" max="3335" width="13.33203125" customWidth="1"/>
    <col min="3336" max="3336" width="14.5546875" customWidth="1"/>
    <col min="3337" max="3337" width="9.33203125" customWidth="1"/>
    <col min="3338" max="3338" width="12" customWidth="1"/>
    <col min="3339" max="3339" width="41.44140625" bestFit="1" customWidth="1"/>
    <col min="3589" max="3589" width="51.6640625" customWidth="1"/>
    <col min="3590" max="3590" width="11.109375" customWidth="1"/>
    <col min="3591" max="3591" width="13.33203125" customWidth="1"/>
    <col min="3592" max="3592" width="14.5546875" customWidth="1"/>
    <col min="3593" max="3593" width="9.33203125" customWidth="1"/>
    <col min="3594" max="3594" width="12" customWidth="1"/>
    <col min="3595" max="3595" width="41.44140625" bestFit="1" customWidth="1"/>
    <col min="3845" max="3845" width="51.6640625" customWidth="1"/>
    <col min="3846" max="3846" width="11.109375" customWidth="1"/>
    <col min="3847" max="3847" width="13.33203125" customWidth="1"/>
    <col min="3848" max="3848" width="14.5546875" customWidth="1"/>
    <col min="3849" max="3849" width="9.33203125" customWidth="1"/>
    <col min="3850" max="3850" width="12" customWidth="1"/>
    <col min="3851" max="3851" width="41.44140625" bestFit="1" customWidth="1"/>
    <col min="4101" max="4101" width="51.6640625" customWidth="1"/>
    <col min="4102" max="4102" width="11.109375" customWidth="1"/>
    <col min="4103" max="4103" width="13.33203125" customWidth="1"/>
    <col min="4104" max="4104" width="14.5546875" customWidth="1"/>
    <col min="4105" max="4105" width="9.33203125" customWidth="1"/>
    <col min="4106" max="4106" width="12" customWidth="1"/>
    <col min="4107" max="4107" width="41.44140625" bestFit="1" customWidth="1"/>
    <col min="4357" max="4357" width="51.6640625" customWidth="1"/>
    <col min="4358" max="4358" width="11.109375" customWidth="1"/>
    <col min="4359" max="4359" width="13.33203125" customWidth="1"/>
    <col min="4360" max="4360" width="14.5546875" customWidth="1"/>
    <col min="4361" max="4361" width="9.33203125" customWidth="1"/>
    <col min="4362" max="4362" width="12" customWidth="1"/>
    <col min="4363" max="4363" width="41.44140625" bestFit="1" customWidth="1"/>
    <col min="4613" max="4613" width="51.6640625" customWidth="1"/>
    <col min="4614" max="4614" width="11.109375" customWidth="1"/>
    <col min="4615" max="4615" width="13.33203125" customWidth="1"/>
    <col min="4616" max="4616" width="14.5546875" customWidth="1"/>
    <col min="4617" max="4617" width="9.33203125" customWidth="1"/>
    <col min="4618" max="4618" width="12" customWidth="1"/>
    <col min="4619" max="4619" width="41.44140625" bestFit="1" customWidth="1"/>
    <col min="4869" max="4869" width="51.6640625" customWidth="1"/>
    <col min="4870" max="4870" width="11.109375" customWidth="1"/>
    <col min="4871" max="4871" width="13.33203125" customWidth="1"/>
    <col min="4872" max="4872" width="14.5546875" customWidth="1"/>
    <col min="4873" max="4873" width="9.33203125" customWidth="1"/>
    <col min="4874" max="4874" width="12" customWidth="1"/>
    <col min="4875" max="4875" width="41.44140625" bestFit="1" customWidth="1"/>
    <col min="5125" max="5125" width="51.6640625" customWidth="1"/>
    <col min="5126" max="5126" width="11.109375" customWidth="1"/>
    <col min="5127" max="5127" width="13.33203125" customWidth="1"/>
    <col min="5128" max="5128" width="14.5546875" customWidth="1"/>
    <col min="5129" max="5129" width="9.33203125" customWidth="1"/>
    <col min="5130" max="5130" width="12" customWidth="1"/>
    <col min="5131" max="5131" width="41.44140625" bestFit="1" customWidth="1"/>
    <col min="5381" max="5381" width="51.6640625" customWidth="1"/>
    <col min="5382" max="5382" width="11.109375" customWidth="1"/>
    <col min="5383" max="5383" width="13.33203125" customWidth="1"/>
    <col min="5384" max="5384" width="14.5546875" customWidth="1"/>
    <col min="5385" max="5385" width="9.33203125" customWidth="1"/>
    <col min="5386" max="5386" width="12" customWidth="1"/>
    <col min="5387" max="5387" width="41.44140625" bestFit="1" customWidth="1"/>
    <col min="5637" max="5637" width="51.6640625" customWidth="1"/>
    <col min="5638" max="5638" width="11.109375" customWidth="1"/>
    <col min="5639" max="5639" width="13.33203125" customWidth="1"/>
    <col min="5640" max="5640" width="14.5546875" customWidth="1"/>
    <col min="5641" max="5641" width="9.33203125" customWidth="1"/>
    <col min="5642" max="5642" width="12" customWidth="1"/>
    <col min="5643" max="5643" width="41.44140625" bestFit="1" customWidth="1"/>
    <col min="5893" max="5893" width="51.6640625" customWidth="1"/>
    <col min="5894" max="5894" width="11.109375" customWidth="1"/>
    <col min="5895" max="5895" width="13.33203125" customWidth="1"/>
    <col min="5896" max="5896" width="14.5546875" customWidth="1"/>
    <col min="5897" max="5897" width="9.33203125" customWidth="1"/>
    <col min="5898" max="5898" width="12" customWidth="1"/>
    <col min="5899" max="5899" width="41.44140625" bestFit="1" customWidth="1"/>
    <col min="6149" max="6149" width="51.6640625" customWidth="1"/>
    <col min="6150" max="6150" width="11.109375" customWidth="1"/>
    <col min="6151" max="6151" width="13.33203125" customWidth="1"/>
    <col min="6152" max="6152" width="14.5546875" customWidth="1"/>
    <col min="6153" max="6153" width="9.33203125" customWidth="1"/>
    <col min="6154" max="6154" width="12" customWidth="1"/>
    <col min="6155" max="6155" width="41.44140625" bestFit="1" customWidth="1"/>
    <col min="6405" max="6405" width="51.6640625" customWidth="1"/>
    <col min="6406" max="6406" width="11.109375" customWidth="1"/>
    <col min="6407" max="6407" width="13.33203125" customWidth="1"/>
    <col min="6408" max="6408" width="14.5546875" customWidth="1"/>
    <col min="6409" max="6409" width="9.33203125" customWidth="1"/>
    <col min="6410" max="6410" width="12" customWidth="1"/>
    <col min="6411" max="6411" width="41.44140625" bestFit="1" customWidth="1"/>
    <col min="6661" max="6661" width="51.6640625" customWidth="1"/>
    <col min="6662" max="6662" width="11.109375" customWidth="1"/>
    <col min="6663" max="6663" width="13.33203125" customWidth="1"/>
    <col min="6664" max="6664" width="14.5546875" customWidth="1"/>
    <col min="6665" max="6665" width="9.33203125" customWidth="1"/>
    <col min="6666" max="6666" width="12" customWidth="1"/>
    <col min="6667" max="6667" width="41.44140625" bestFit="1" customWidth="1"/>
    <col min="6917" max="6917" width="51.6640625" customWidth="1"/>
    <col min="6918" max="6918" width="11.109375" customWidth="1"/>
    <col min="6919" max="6919" width="13.33203125" customWidth="1"/>
    <col min="6920" max="6920" width="14.5546875" customWidth="1"/>
    <col min="6921" max="6921" width="9.33203125" customWidth="1"/>
    <col min="6922" max="6922" width="12" customWidth="1"/>
    <col min="6923" max="6923" width="41.44140625" bestFit="1" customWidth="1"/>
    <col min="7173" max="7173" width="51.6640625" customWidth="1"/>
    <col min="7174" max="7174" width="11.109375" customWidth="1"/>
    <col min="7175" max="7175" width="13.33203125" customWidth="1"/>
    <col min="7176" max="7176" width="14.5546875" customWidth="1"/>
    <col min="7177" max="7177" width="9.33203125" customWidth="1"/>
    <col min="7178" max="7178" width="12" customWidth="1"/>
    <col min="7179" max="7179" width="41.44140625" bestFit="1" customWidth="1"/>
    <col min="7429" max="7429" width="51.6640625" customWidth="1"/>
    <col min="7430" max="7430" width="11.109375" customWidth="1"/>
    <col min="7431" max="7431" width="13.33203125" customWidth="1"/>
    <col min="7432" max="7432" width="14.5546875" customWidth="1"/>
    <col min="7433" max="7433" width="9.33203125" customWidth="1"/>
    <col min="7434" max="7434" width="12" customWidth="1"/>
    <col min="7435" max="7435" width="41.44140625" bestFit="1" customWidth="1"/>
    <col min="7685" max="7685" width="51.6640625" customWidth="1"/>
    <col min="7686" max="7686" width="11.109375" customWidth="1"/>
    <col min="7687" max="7687" width="13.33203125" customWidth="1"/>
    <col min="7688" max="7688" width="14.5546875" customWidth="1"/>
    <col min="7689" max="7689" width="9.33203125" customWidth="1"/>
    <col min="7690" max="7690" width="12" customWidth="1"/>
    <col min="7691" max="7691" width="41.44140625" bestFit="1" customWidth="1"/>
    <col min="7941" max="7941" width="51.6640625" customWidth="1"/>
    <col min="7942" max="7942" width="11.109375" customWidth="1"/>
    <col min="7943" max="7943" width="13.33203125" customWidth="1"/>
    <col min="7944" max="7944" width="14.5546875" customWidth="1"/>
    <col min="7945" max="7945" width="9.33203125" customWidth="1"/>
    <col min="7946" max="7946" width="12" customWidth="1"/>
    <col min="7947" max="7947" width="41.44140625" bestFit="1" customWidth="1"/>
    <col min="8197" max="8197" width="51.6640625" customWidth="1"/>
    <col min="8198" max="8198" width="11.109375" customWidth="1"/>
    <col min="8199" max="8199" width="13.33203125" customWidth="1"/>
    <col min="8200" max="8200" width="14.5546875" customWidth="1"/>
    <col min="8201" max="8201" width="9.33203125" customWidth="1"/>
    <col min="8202" max="8202" width="12" customWidth="1"/>
    <col min="8203" max="8203" width="41.44140625" bestFit="1" customWidth="1"/>
    <col min="8453" max="8453" width="51.6640625" customWidth="1"/>
    <col min="8454" max="8454" width="11.109375" customWidth="1"/>
    <col min="8455" max="8455" width="13.33203125" customWidth="1"/>
    <col min="8456" max="8456" width="14.5546875" customWidth="1"/>
    <col min="8457" max="8457" width="9.33203125" customWidth="1"/>
    <col min="8458" max="8458" width="12" customWidth="1"/>
    <col min="8459" max="8459" width="41.44140625" bestFit="1" customWidth="1"/>
    <col min="8709" max="8709" width="51.6640625" customWidth="1"/>
    <col min="8710" max="8710" width="11.109375" customWidth="1"/>
    <col min="8711" max="8711" width="13.33203125" customWidth="1"/>
    <col min="8712" max="8712" width="14.5546875" customWidth="1"/>
    <col min="8713" max="8713" width="9.33203125" customWidth="1"/>
    <col min="8714" max="8714" width="12" customWidth="1"/>
    <col min="8715" max="8715" width="41.44140625" bestFit="1" customWidth="1"/>
    <col min="8965" max="8965" width="51.6640625" customWidth="1"/>
    <col min="8966" max="8966" width="11.109375" customWidth="1"/>
    <col min="8967" max="8967" width="13.33203125" customWidth="1"/>
    <col min="8968" max="8968" width="14.5546875" customWidth="1"/>
    <col min="8969" max="8969" width="9.33203125" customWidth="1"/>
    <col min="8970" max="8970" width="12" customWidth="1"/>
    <col min="8971" max="8971" width="41.44140625" bestFit="1" customWidth="1"/>
    <col min="9221" max="9221" width="51.6640625" customWidth="1"/>
    <col min="9222" max="9222" width="11.109375" customWidth="1"/>
    <col min="9223" max="9223" width="13.33203125" customWidth="1"/>
    <col min="9224" max="9224" width="14.5546875" customWidth="1"/>
    <col min="9225" max="9225" width="9.33203125" customWidth="1"/>
    <col min="9226" max="9226" width="12" customWidth="1"/>
    <col min="9227" max="9227" width="41.44140625" bestFit="1" customWidth="1"/>
    <col min="9477" max="9477" width="51.6640625" customWidth="1"/>
    <col min="9478" max="9478" width="11.109375" customWidth="1"/>
    <col min="9479" max="9479" width="13.33203125" customWidth="1"/>
    <col min="9480" max="9480" width="14.5546875" customWidth="1"/>
    <col min="9481" max="9481" width="9.33203125" customWidth="1"/>
    <col min="9482" max="9482" width="12" customWidth="1"/>
    <col min="9483" max="9483" width="41.44140625" bestFit="1" customWidth="1"/>
    <col min="9733" max="9733" width="51.6640625" customWidth="1"/>
    <col min="9734" max="9734" width="11.109375" customWidth="1"/>
    <col min="9735" max="9735" width="13.33203125" customWidth="1"/>
    <col min="9736" max="9736" width="14.5546875" customWidth="1"/>
    <col min="9737" max="9737" width="9.33203125" customWidth="1"/>
    <col min="9738" max="9738" width="12" customWidth="1"/>
    <col min="9739" max="9739" width="41.44140625" bestFit="1" customWidth="1"/>
    <col min="9989" max="9989" width="51.6640625" customWidth="1"/>
    <col min="9990" max="9990" width="11.109375" customWidth="1"/>
    <col min="9991" max="9991" width="13.33203125" customWidth="1"/>
    <col min="9992" max="9992" width="14.5546875" customWidth="1"/>
    <col min="9993" max="9993" width="9.33203125" customWidth="1"/>
    <col min="9994" max="9994" width="12" customWidth="1"/>
    <col min="9995" max="9995" width="41.44140625" bestFit="1" customWidth="1"/>
    <col min="10245" max="10245" width="51.6640625" customWidth="1"/>
    <col min="10246" max="10246" width="11.109375" customWidth="1"/>
    <col min="10247" max="10247" width="13.33203125" customWidth="1"/>
    <col min="10248" max="10248" width="14.5546875" customWidth="1"/>
    <col min="10249" max="10249" width="9.33203125" customWidth="1"/>
    <col min="10250" max="10250" width="12" customWidth="1"/>
    <col min="10251" max="10251" width="41.44140625" bestFit="1" customWidth="1"/>
    <col min="10501" max="10501" width="51.6640625" customWidth="1"/>
    <col min="10502" max="10502" width="11.109375" customWidth="1"/>
    <col min="10503" max="10503" width="13.33203125" customWidth="1"/>
    <col min="10504" max="10504" width="14.5546875" customWidth="1"/>
    <col min="10505" max="10505" width="9.33203125" customWidth="1"/>
    <col min="10506" max="10506" width="12" customWidth="1"/>
    <col min="10507" max="10507" width="41.44140625" bestFit="1" customWidth="1"/>
    <col min="10757" max="10757" width="51.6640625" customWidth="1"/>
    <col min="10758" max="10758" width="11.109375" customWidth="1"/>
    <col min="10759" max="10759" width="13.33203125" customWidth="1"/>
    <col min="10760" max="10760" width="14.5546875" customWidth="1"/>
    <col min="10761" max="10761" width="9.33203125" customWidth="1"/>
    <col min="10762" max="10762" width="12" customWidth="1"/>
    <col min="10763" max="10763" width="41.44140625" bestFit="1" customWidth="1"/>
    <col min="11013" max="11013" width="51.6640625" customWidth="1"/>
    <col min="11014" max="11014" width="11.109375" customWidth="1"/>
    <col min="11015" max="11015" width="13.33203125" customWidth="1"/>
    <col min="11016" max="11016" width="14.5546875" customWidth="1"/>
    <col min="11017" max="11017" width="9.33203125" customWidth="1"/>
    <col min="11018" max="11018" width="12" customWidth="1"/>
    <col min="11019" max="11019" width="41.44140625" bestFit="1" customWidth="1"/>
    <col min="11269" max="11269" width="51.6640625" customWidth="1"/>
    <col min="11270" max="11270" width="11.109375" customWidth="1"/>
    <col min="11271" max="11271" width="13.33203125" customWidth="1"/>
    <col min="11272" max="11272" width="14.5546875" customWidth="1"/>
    <col min="11273" max="11273" width="9.33203125" customWidth="1"/>
    <col min="11274" max="11274" width="12" customWidth="1"/>
    <col min="11275" max="11275" width="41.44140625" bestFit="1" customWidth="1"/>
    <col min="11525" max="11525" width="51.6640625" customWidth="1"/>
    <col min="11526" max="11526" width="11.109375" customWidth="1"/>
    <col min="11527" max="11527" width="13.33203125" customWidth="1"/>
    <col min="11528" max="11528" width="14.5546875" customWidth="1"/>
    <col min="11529" max="11529" width="9.33203125" customWidth="1"/>
    <col min="11530" max="11530" width="12" customWidth="1"/>
    <col min="11531" max="11531" width="41.44140625" bestFit="1" customWidth="1"/>
    <col min="11781" max="11781" width="51.6640625" customWidth="1"/>
    <col min="11782" max="11782" width="11.109375" customWidth="1"/>
    <col min="11783" max="11783" width="13.33203125" customWidth="1"/>
    <col min="11784" max="11784" width="14.5546875" customWidth="1"/>
    <col min="11785" max="11785" width="9.33203125" customWidth="1"/>
    <col min="11786" max="11786" width="12" customWidth="1"/>
    <col min="11787" max="11787" width="41.44140625" bestFit="1" customWidth="1"/>
    <col min="12037" max="12037" width="51.6640625" customWidth="1"/>
    <col min="12038" max="12038" width="11.109375" customWidth="1"/>
    <col min="12039" max="12039" width="13.33203125" customWidth="1"/>
    <col min="12040" max="12040" width="14.5546875" customWidth="1"/>
    <col min="12041" max="12041" width="9.33203125" customWidth="1"/>
    <col min="12042" max="12042" width="12" customWidth="1"/>
    <col min="12043" max="12043" width="41.44140625" bestFit="1" customWidth="1"/>
    <col min="12293" max="12293" width="51.6640625" customWidth="1"/>
    <col min="12294" max="12294" width="11.109375" customWidth="1"/>
    <col min="12295" max="12295" width="13.33203125" customWidth="1"/>
    <col min="12296" max="12296" width="14.5546875" customWidth="1"/>
    <col min="12297" max="12297" width="9.33203125" customWidth="1"/>
    <col min="12298" max="12298" width="12" customWidth="1"/>
    <col min="12299" max="12299" width="41.44140625" bestFit="1" customWidth="1"/>
    <col min="12549" max="12549" width="51.6640625" customWidth="1"/>
    <col min="12550" max="12550" width="11.109375" customWidth="1"/>
    <col min="12551" max="12551" width="13.33203125" customWidth="1"/>
    <col min="12552" max="12552" width="14.5546875" customWidth="1"/>
    <col min="12553" max="12553" width="9.33203125" customWidth="1"/>
    <col min="12554" max="12554" width="12" customWidth="1"/>
    <col min="12555" max="12555" width="41.44140625" bestFit="1" customWidth="1"/>
    <col min="12805" max="12805" width="51.6640625" customWidth="1"/>
    <col min="12806" max="12806" width="11.109375" customWidth="1"/>
    <col min="12807" max="12807" width="13.33203125" customWidth="1"/>
    <col min="12808" max="12808" width="14.5546875" customWidth="1"/>
    <col min="12809" max="12809" width="9.33203125" customWidth="1"/>
    <col min="12810" max="12810" width="12" customWidth="1"/>
    <col min="12811" max="12811" width="41.44140625" bestFit="1" customWidth="1"/>
    <col min="13061" max="13061" width="51.6640625" customWidth="1"/>
    <col min="13062" max="13062" width="11.109375" customWidth="1"/>
    <col min="13063" max="13063" width="13.33203125" customWidth="1"/>
    <col min="13064" max="13064" width="14.5546875" customWidth="1"/>
    <col min="13065" max="13065" width="9.33203125" customWidth="1"/>
    <col min="13066" max="13066" width="12" customWidth="1"/>
    <col min="13067" max="13067" width="41.44140625" bestFit="1" customWidth="1"/>
    <col min="13317" max="13317" width="51.6640625" customWidth="1"/>
    <col min="13318" max="13318" width="11.109375" customWidth="1"/>
    <col min="13319" max="13319" width="13.33203125" customWidth="1"/>
    <col min="13320" max="13320" width="14.5546875" customWidth="1"/>
    <col min="13321" max="13321" width="9.33203125" customWidth="1"/>
    <col min="13322" max="13322" width="12" customWidth="1"/>
    <col min="13323" max="13323" width="41.44140625" bestFit="1" customWidth="1"/>
    <col min="13573" max="13573" width="51.6640625" customWidth="1"/>
    <col min="13574" max="13574" width="11.109375" customWidth="1"/>
    <col min="13575" max="13575" width="13.33203125" customWidth="1"/>
    <col min="13576" max="13576" width="14.5546875" customWidth="1"/>
    <col min="13577" max="13577" width="9.33203125" customWidth="1"/>
    <col min="13578" max="13578" width="12" customWidth="1"/>
    <col min="13579" max="13579" width="41.44140625" bestFit="1" customWidth="1"/>
    <col min="13829" max="13829" width="51.6640625" customWidth="1"/>
    <col min="13830" max="13830" width="11.109375" customWidth="1"/>
    <col min="13831" max="13831" width="13.33203125" customWidth="1"/>
    <col min="13832" max="13832" width="14.5546875" customWidth="1"/>
    <col min="13833" max="13833" width="9.33203125" customWidth="1"/>
    <col min="13834" max="13834" width="12" customWidth="1"/>
    <col min="13835" max="13835" width="41.44140625" bestFit="1" customWidth="1"/>
    <col min="14085" max="14085" width="51.6640625" customWidth="1"/>
    <col min="14086" max="14086" width="11.109375" customWidth="1"/>
    <col min="14087" max="14087" width="13.33203125" customWidth="1"/>
    <col min="14088" max="14088" width="14.5546875" customWidth="1"/>
    <col min="14089" max="14089" width="9.33203125" customWidth="1"/>
    <col min="14090" max="14090" width="12" customWidth="1"/>
    <col min="14091" max="14091" width="41.44140625" bestFit="1" customWidth="1"/>
    <col min="14341" max="14341" width="51.6640625" customWidth="1"/>
    <col min="14342" max="14342" width="11.109375" customWidth="1"/>
    <col min="14343" max="14343" width="13.33203125" customWidth="1"/>
    <col min="14344" max="14344" width="14.5546875" customWidth="1"/>
    <col min="14345" max="14345" width="9.33203125" customWidth="1"/>
    <col min="14346" max="14346" width="12" customWidth="1"/>
    <col min="14347" max="14347" width="41.44140625" bestFit="1" customWidth="1"/>
    <col min="14597" max="14597" width="51.6640625" customWidth="1"/>
    <col min="14598" max="14598" width="11.109375" customWidth="1"/>
    <col min="14599" max="14599" width="13.33203125" customWidth="1"/>
    <col min="14600" max="14600" width="14.5546875" customWidth="1"/>
    <col min="14601" max="14601" width="9.33203125" customWidth="1"/>
    <col min="14602" max="14602" width="12" customWidth="1"/>
    <col min="14603" max="14603" width="41.44140625" bestFit="1" customWidth="1"/>
    <col min="14853" max="14853" width="51.6640625" customWidth="1"/>
    <col min="14854" max="14854" width="11.109375" customWidth="1"/>
    <col min="14855" max="14855" width="13.33203125" customWidth="1"/>
    <col min="14856" max="14856" width="14.5546875" customWidth="1"/>
    <col min="14857" max="14857" width="9.33203125" customWidth="1"/>
    <col min="14858" max="14858" width="12" customWidth="1"/>
    <col min="14859" max="14859" width="41.44140625" bestFit="1" customWidth="1"/>
    <col min="15109" max="15109" width="51.6640625" customWidth="1"/>
    <col min="15110" max="15110" width="11.109375" customWidth="1"/>
    <col min="15111" max="15111" width="13.33203125" customWidth="1"/>
    <col min="15112" max="15112" width="14.5546875" customWidth="1"/>
    <col min="15113" max="15113" width="9.33203125" customWidth="1"/>
    <col min="15114" max="15114" width="12" customWidth="1"/>
    <col min="15115" max="15115" width="41.44140625" bestFit="1" customWidth="1"/>
    <col min="15365" max="15365" width="51.6640625" customWidth="1"/>
    <col min="15366" max="15366" width="11.109375" customWidth="1"/>
    <col min="15367" max="15367" width="13.33203125" customWidth="1"/>
    <col min="15368" max="15368" width="14.5546875" customWidth="1"/>
    <col min="15369" max="15369" width="9.33203125" customWidth="1"/>
    <col min="15370" max="15370" width="12" customWidth="1"/>
    <col min="15371" max="15371" width="41.44140625" bestFit="1" customWidth="1"/>
    <col min="15621" max="15621" width="51.6640625" customWidth="1"/>
    <col min="15622" max="15622" width="11.109375" customWidth="1"/>
    <col min="15623" max="15623" width="13.33203125" customWidth="1"/>
    <col min="15624" max="15624" width="14.5546875" customWidth="1"/>
    <col min="15625" max="15625" width="9.33203125" customWidth="1"/>
    <col min="15626" max="15626" width="12" customWidth="1"/>
    <col min="15627" max="15627" width="41.44140625" bestFit="1" customWidth="1"/>
    <col min="15877" max="15877" width="51.6640625" customWidth="1"/>
    <col min="15878" max="15878" width="11.109375" customWidth="1"/>
    <col min="15879" max="15879" width="13.33203125" customWidth="1"/>
    <col min="15880" max="15880" width="14.5546875" customWidth="1"/>
    <col min="15881" max="15881" width="9.33203125" customWidth="1"/>
    <col min="15882" max="15882" width="12" customWidth="1"/>
    <col min="15883" max="15883" width="41.44140625" bestFit="1" customWidth="1"/>
    <col min="16133" max="16133" width="51.6640625" customWidth="1"/>
    <col min="16134" max="16134" width="11.109375" customWidth="1"/>
    <col min="16135" max="16135" width="13.33203125" customWidth="1"/>
    <col min="16136" max="16136" width="14.5546875" customWidth="1"/>
    <col min="16137" max="16137" width="9.33203125" customWidth="1"/>
    <col min="16138" max="16138" width="12" customWidth="1"/>
    <col min="16139" max="16139" width="41.44140625" bestFit="1" customWidth="1"/>
  </cols>
  <sheetData>
    <row r="1" spans="1:19" ht="34.799999999999997">
      <c r="A1" s="166" t="s">
        <v>0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</row>
    <row r="2" spans="1:19" ht="23.4">
      <c r="A2" s="176" t="s">
        <v>214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</row>
    <row r="3" spans="1:19" ht="34.799999999999997">
      <c r="A3" s="168" t="s">
        <v>117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M3" s="39"/>
      <c r="N3" s="39"/>
      <c r="O3" s="39"/>
      <c r="P3" s="39"/>
      <c r="Q3" s="39"/>
      <c r="R3" s="39"/>
      <c r="S3" s="39"/>
    </row>
    <row r="4" spans="1:19" ht="26.4">
      <c r="A4" s="43" t="s">
        <v>109</v>
      </c>
      <c r="B4" s="70"/>
      <c r="C4" s="43"/>
      <c r="D4" s="1"/>
      <c r="E4" s="1"/>
      <c r="F4" s="1"/>
      <c r="G4" s="1"/>
      <c r="H4" s="2"/>
      <c r="I4" s="2"/>
      <c r="J4" s="2"/>
      <c r="K4" s="2"/>
    </row>
    <row r="5" spans="1:19" ht="23.4">
      <c r="A5" s="1" t="s">
        <v>18</v>
      </c>
      <c r="B5" s="70"/>
      <c r="C5" s="1"/>
      <c r="D5" s="41" t="s">
        <v>20</v>
      </c>
      <c r="E5" s="3"/>
      <c r="F5" s="3"/>
      <c r="G5" s="3"/>
      <c r="H5" s="2"/>
      <c r="I5" s="2"/>
      <c r="J5" s="2"/>
      <c r="K5" s="2"/>
    </row>
    <row r="6" spans="1:19" ht="23.4">
      <c r="A6" s="1" t="s">
        <v>21</v>
      </c>
      <c r="B6" s="70"/>
      <c r="C6" s="1"/>
      <c r="D6" s="41"/>
      <c r="E6" s="3" t="s">
        <v>22</v>
      </c>
      <c r="F6" s="3"/>
      <c r="G6" s="3"/>
      <c r="H6" s="2"/>
      <c r="I6" s="2"/>
      <c r="J6" s="2"/>
      <c r="K6" s="2"/>
    </row>
    <row r="7" spans="1:19" ht="23.4">
      <c r="A7" s="1" t="s">
        <v>23</v>
      </c>
      <c r="B7" s="70"/>
      <c r="C7" s="1"/>
      <c r="D7" s="41">
        <v>3</v>
      </c>
      <c r="E7" s="3" t="s">
        <v>89</v>
      </c>
      <c r="F7" s="3"/>
      <c r="G7" s="3"/>
      <c r="H7" s="2"/>
      <c r="I7" s="2"/>
      <c r="J7" s="2"/>
      <c r="K7" s="2"/>
    </row>
    <row r="8" spans="1:19" ht="23.4">
      <c r="A8" s="1" t="s">
        <v>24</v>
      </c>
      <c r="B8" s="70"/>
      <c r="C8" s="1"/>
      <c r="D8" s="41">
        <v>10</v>
      </c>
      <c r="E8" s="3" t="s">
        <v>89</v>
      </c>
      <c r="F8" s="3"/>
      <c r="G8" s="3"/>
      <c r="H8" s="2"/>
      <c r="I8" s="2"/>
      <c r="J8" s="2"/>
      <c r="K8" s="2"/>
    </row>
    <row r="9" spans="1:19" ht="23.4">
      <c r="A9" s="1" t="s">
        <v>91</v>
      </c>
      <c r="B9" s="70"/>
      <c r="C9" s="1"/>
      <c r="D9" s="41">
        <v>600</v>
      </c>
      <c r="E9" s="3" t="s">
        <v>22</v>
      </c>
      <c r="F9" s="3"/>
      <c r="G9" s="3"/>
      <c r="H9" s="2"/>
      <c r="I9" s="2"/>
      <c r="J9" s="2"/>
      <c r="K9" s="2"/>
    </row>
    <row r="10" spans="1:19" ht="23.4">
      <c r="A10" s="1" t="s">
        <v>92</v>
      </c>
      <c r="B10" s="70"/>
      <c r="C10" s="1"/>
      <c r="D10" s="41">
        <f>70+16+16</f>
        <v>102</v>
      </c>
      <c r="E10" s="3" t="s">
        <v>22</v>
      </c>
      <c r="F10" s="3"/>
      <c r="G10" s="3"/>
      <c r="H10" s="2"/>
      <c r="I10" s="2"/>
      <c r="J10" s="2"/>
      <c r="K10" s="2"/>
    </row>
    <row r="11" spans="1:19" ht="23.4">
      <c r="A11" s="1" t="s">
        <v>138</v>
      </c>
      <c r="B11" s="70"/>
      <c r="C11" s="1"/>
      <c r="D11" s="63">
        <v>0.05</v>
      </c>
      <c r="E11" s="3"/>
      <c r="F11" s="3"/>
      <c r="G11" s="3"/>
      <c r="H11" s="2"/>
      <c r="I11" s="2"/>
      <c r="J11" s="2"/>
      <c r="K11" s="2"/>
    </row>
    <row r="12" spans="1:19" ht="21" thickBot="1">
      <c r="A12" s="1"/>
      <c r="B12" s="70"/>
      <c r="C12" s="1"/>
      <c r="D12" s="1"/>
      <c r="E12" s="3"/>
      <c r="F12" s="3"/>
      <c r="G12" s="3"/>
      <c r="H12" s="4"/>
      <c r="I12" s="4"/>
      <c r="J12" s="5"/>
      <c r="K12" s="6" t="s">
        <v>213</v>
      </c>
    </row>
    <row r="13" spans="1:19" ht="21" thickBot="1">
      <c r="A13" s="169" t="s">
        <v>1</v>
      </c>
      <c r="B13" s="170"/>
      <c r="C13" s="171"/>
      <c r="D13" s="8" t="s">
        <v>2</v>
      </c>
      <c r="E13" s="8" t="s">
        <v>3</v>
      </c>
      <c r="F13" s="8" t="s">
        <v>146</v>
      </c>
      <c r="G13" s="7" t="s">
        <v>83</v>
      </c>
      <c r="H13" s="8" t="s">
        <v>4</v>
      </c>
      <c r="I13" s="7" t="s">
        <v>5</v>
      </c>
      <c r="J13" s="7" t="s">
        <v>6</v>
      </c>
      <c r="K13" s="7" t="s">
        <v>7</v>
      </c>
    </row>
    <row r="14" spans="1:19" ht="22.2" customHeight="1">
      <c r="A14" s="71" t="str">
        <f>IFERROR(VLOOKUP($C$14,Data!$A$12:$N$18,14,),"")</f>
        <v/>
      </c>
      <c r="B14" s="34" t="s">
        <v>32</v>
      </c>
      <c r="C14" s="34" t="s">
        <v>208</v>
      </c>
      <c r="D14" s="30" t="s">
        <v>8</v>
      </c>
      <c r="E14" s="31">
        <f>IFERROR(VLOOKUP($C14,Data!A8:K37,11,),0)</f>
        <v>17.5</v>
      </c>
      <c r="F14" s="31">
        <f>E14/($D$7*$D$8)</f>
        <v>0.58333333333333337</v>
      </c>
      <c r="G14" s="31">
        <f>IFERROR(VLOOKUP($C$14,Data!$A$8:$L$18,12,),0)</f>
        <v>0</v>
      </c>
      <c r="H14" s="31">
        <f>IFERROR(VLOOKUP($C$14,Data!$A$8:$I$37,6,),0)</f>
        <v>0</v>
      </c>
      <c r="I14" s="32"/>
      <c r="J14" s="33">
        <f>+(H14-(H14*I14))*E14</f>
        <v>0</v>
      </c>
      <c r="K14" s="174"/>
    </row>
    <row r="15" spans="1:19" ht="22.2" customHeight="1">
      <c r="A15" s="72" t="str">
        <f>IFERROR(VLOOKUP($C$15,Data!$A$12:$N$18,14,),"")</f>
        <v/>
      </c>
      <c r="B15" s="29" t="s">
        <v>33</v>
      </c>
      <c r="C15" s="29"/>
      <c r="D15" s="30" t="s">
        <v>8</v>
      </c>
      <c r="E15" s="31">
        <f>IFERROR(VLOOKUP($C15,Data!A8:K37,11,),0)</f>
        <v>0</v>
      </c>
      <c r="F15" s="31">
        <f t="shared" ref="F15:F34" si="0">E15/($D$7*$D$8)</f>
        <v>0</v>
      </c>
      <c r="G15" s="31">
        <f>IFERROR(VLOOKUP($C$15,Data!$A$8:$L$18,12,),0)</f>
        <v>0</v>
      </c>
      <c r="H15" s="31">
        <f>IFERROR(VLOOKUP($C$15,Data!$A$8:$I$37,6,),0)</f>
        <v>0</v>
      </c>
      <c r="I15" s="32"/>
      <c r="J15" s="33">
        <f t="shared" ref="J15:J26" si="1">+(H15-(H15*I15))*E15</f>
        <v>0</v>
      </c>
      <c r="K15" s="175"/>
    </row>
    <row r="16" spans="1:19" ht="22.2" customHeight="1">
      <c r="A16" s="72" t="str">
        <f>IFERROR(VLOOKUP($C$16,Data!$A$31:$N$37,14,),"")</f>
        <v/>
      </c>
      <c r="B16" s="9" t="s">
        <v>34</v>
      </c>
      <c r="C16" s="9" t="s">
        <v>211</v>
      </c>
      <c r="D16" s="30" t="s">
        <v>8</v>
      </c>
      <c r="E16" s="31">
        <f>IFERROR(VLOOKUP($C16,Data!A8:K37,11,),0)</f>
        <v>4.5</v>
      </c>
      <c r="F16" s="31">
        <f t="shared" si="0"/>
        <v>0.15</v>
      </c>
      <c r="G16" s="31">
        <f>IFERROR(VLOOKUP($C$16,Data!$A$8:$L$37,12,),0)</f>
        <v>0</v>
      </c>
      <c r="H16" s="31">
        <f>IFERROR(VLOOKUP($C$16,Data!$A$8:$I$37,6,),0)</f>
        <v>0</v>
      </c>
      <c r="I16" s="32"/>
      <c r="J16" s="33">
        <f t="shared" si="1"/>
        <v>0</v>
      </c>
      <c r="K16" s="53"/>
    </row>
    <row r="17" spans="1:11" ht="22.2" customHeight="1">
      <c r="A17" s="72" t="str">
        <f>IFERROR(VLOOKUP($C$17,Data!$A$31:$N$37,14,),"")</f>
        <v/>
      </c>
      <c r="B17" s="28" t="s">
        <v>35</v>
      </c>
      <c r="C17" s="9" t="s">
        <v>211</v>
      </c>
      <c r="D17" s="30" t="s">
        <v>8</v>
      </c>
      <c r="E17" s="31">
        <f>IFERROR(VLOOKUP($C17,Data!A8:K37,11,),0)</f>
        <v>4.5</v>
      </c>
      <c r="F17" s="31">
        <f t="shared" si="0"/>
        <v>0.15</v>
      </c>
      <c r="G17" s="31">
        <f>IFERROR(VLOOKUP($C$17,Data!$A$8:$L$37,12,),0)</f>
        <v>0</v>
      </c>
      <c r="H17" s="31">
        <f>IFERROR(VLOOKUP($C$17,Data!$A$8:$I$37,6,),0)</f>
        <v>0</v>
      </c>
      <c r="I17" s="32"/>
      <c r="J17" s="33">
        <f t="shared" si="1"/>
        <v>0</v>
      </c>
      <c r="K17" s="53"/>
    </row>
    <row r="18" spans="1:11" ht="22.2" customHeight="1">
      <c r="A18" s="72" t="str">
        <f>IFERROR(VLOOKUP($C$18,Data!$A$8:$N$37,14,),"")</f>
        <v>520040050000003</v>
      </c>
      <c r="B18" s="28" t="s">
        <v>212</v>
      </c>
      <c r="C18" s="9" t="s">
        <v>209</v>
      </c>
      <c r="D18" s="80" t="s">
        <v>73</v>
      </c>
      <c r="E18" s="31">
        <f>IFERROR(VLOOKUP($C18,Data!A8:K37,11,),0)</f>
        <v>30.630000000000003</v>
      </c>
      <c r="F18" s="31">
        <f t="shared" si="0"/>
        <v>1.0210000000000001</v>
      </c>
      <c r="G18" s="31">
        <f>IFERROR(VLOOKUP($C$17,Data!$A$8:$L$37,12,),0)</f>
        <v>0</v>
      </c>
      <c r="H18" s="31">
        <f>IFERROR(VLOOKUP($C$18,Data!$A$8:$I$37,6,),0)</f>
        <v>36</v>
      </c>
      <c r="I18" s="32"/>
      <c r="J18" s="33">
        <f t="shared" si="1"/>
        <v>1102.68</v>
      </c>
      <c r="K18" s="53"/>
    </row>
    <row r="19" spans="1:11" ht="22.2" customHeight="1">
      <c r="A19" s="72">
        <f>IFERROR(VLOOKUP($C$19,Data!$A$39:$N$68,14,),"")</f>
        <v>0</v>
      </c>
      <c r="B19" s="29" t="s">
        <v>110</v>
      </c>
      <c r="C19" s="29" t="s">
        <v>55</v>
      </c>
      <c r="D19" s="30" t="s">
        <v>9</v>
      </c>
      <c r="E19" s="31">
        <f>IFERROR(VLOOKUP($C19,Data!$A$39:$K$68,11,),0)</f>
        <v>21.880000000000003</v>
      </c>
      <c r="F19" s="31">
        <f t="shared" si="0"/>
        <v>0.72933333333333339</v>
      </c>
      <c r="G19" s="31">
        <f>IFERROR(VLOOKUP($C$19,Data!$A$39:$L$68,12,),0)</f>
        <v>0</v>
      </c>
      <c r="H19" s="31">
        <f>IFERROR(VLOOKUP($C$19,Data!$A$39:$I$68,6,),0)</f>
        <v>620</v>
      </c>
      <c r="I19" s="32"/>
      <c r="J19" s="33">
        <f t="shared" si="1"/>
        <v>13565.600000000002</v>
      </c>
      <c r="K19" s="53"/>
    </row>
    <row r="20" spans="1:11" ht="22.2" customHeight="1">
      <c r="A20" s="72" t="str">
        <f>IFERROR(VLOOKUP($C20,Data!$A$39:$N$68,14,),"")</f>
        <v>100020021600001</v>
      </c>
      <c r="B20" s="28" t="s">
        <v>111</v>
      </c>
      <c r="C20" s="28" t="s">
        <v>204</v>
      </c>
      <c r="D20" s="30" t="s">
        <v>9</v>
      </c>
      <c r="E20" s="31">
        <f>IFERROR(VLOOKUP($C20,Data!$A$39:$K$68,11,),0)</f>
        <v>10.94</v>
      </c>
      <c r="F20" s="31">
        <f t="shared" si="0"/>
        <v>0.36466666666666664</v>
      </c>
      <c r="G20" s="31">
        <f>IFERROR(VLOOKUP($C20,Data!$A$39:$L$68,12,),0)</f>
        <v>456.85439999999994</v>
      </c>
      <c r="H20" s="31">
        <f>IFERROR(VLOOKUP($C20,Data!$A$39:$I$68,6,),0)</f>
        <v>532</v>
      </c>
      <c r="I20" s="32"/>
      <c r="J20" s="33">
        <f>+(H20-(H20*I20))*E20</f>
        <v>5820.08</v>
      </c>
      <c r="K20" s="53"/>
    </row>
    <row r="21" spans="1:11" ht="22.2" customHeight="1">
      <c r="A21" s="72" t="str">
        <f>IFERROR(VLOOKUP($C21,Data!$A$39:$N$68,14,),"")</f>
        <v>100020021600001</v>
      </c>
      <c r="B21" s="29" t="s">
        <v>112</v>
      </c>
      <c r="C21" s="29" t="s">
        <v>204</v>
      </c>
      <c r="D21" s="30" t="s">
        <v>9</v>
      </c>
      <c r="E21" s="31">
        <f>IFERROR(VLOOKUP($C21,Data!$A$39:$K$68,11,),0)</f>
        <v>10.94</v>
      </c>
      <c r="F21" s="31">
        <f t="shared" si="0"/>
        <v>0.36466666666666664</v>
      </c>
      <c r="G21" s="31">
        <f>IFERROR(VLOOKUP($C21,Data!$A$39:$L$68,12,),0)</f>
        <v>456.85439999999994</v>
      </c>
      <c r="H21" s="31">
        <f>IFERROR(VLOOKUP($C21,Data!$A$39:$I$68,6,),0)</f>
        <v>532</v>
      </c>
      <c r="I21" s="32"/>
      <c r="J21" s="33">
        <f t="shared" si="1"/>
        <v>5820.08</v>
      </c>
      <c r="K21" s="53"/>
    </row>
    <row r="22" spans="1:11" ht="22.2" customHeight="1">
      <c r="A22" s="72" t="str">
        <f>IFERROR(VLOOKUP($C22,Data!$A$71:$N$75,14,),"")</f>
        <v/>
      </c>
      <c r="B22" s="29" t="s">
        <v>56</v>
      </c>
      <c r="C22" s="29"/>
      <c r="D22" s="30" t="s">
        <v>9</v>
      </c>
      <c r="E22" s="31">
        <f>IFERROR(VLOOKUP($C22,Data!$A$71:$K$75,11,),0)</f>
        <v>0</v>
      </c>
      <c r="F22" s="31">
        <f t="shared" si="0"/>
        <v>0</v>
      </c>
      <c r="G22" s="31">
        <f>IFERROR(VLOOKUP($C22,Data!$A$71:$L$75,12,),0)</f>
        <v>0</v>
      </c>
      <c r="H22" s="31">
        <f>IFERROR(VLOOKUP($C22,Data!$A$71:$I$75,6,),0)</f>
        <v>0</v>
      </c>
      <c r="I22" s="32"/>
      <c r="J22" s="33">
        <f t="shared" si="1"/>
        <v>0</v>
      </c>
      <c r="K22" s="53"/>
    </row>
    <row r="23" spans="1:11" ht="22.2" customHeight="1">
      <c r="A23" s="72" t="str">
        <f>IFERROR(VLOOKUP($C23,Data!$A$82:$N$83,14,),"")</f>
        <v>520010030000004</v>
      </c>
      <c r="B23" s="35" t="s">
        <v>58</v>
      </c>
      <c r="C23" s="35" t="s">
        <v>71</v>
      </c>
      <c r="D23" s="30" t="s">
        <v>73</v>
      </c>
      <c r="E23" s="31">
        <f>IFERROR(VLOOKUP($C23,Data!$A$82:$K$83,11,),0)</f>
        <v>2.2000000000000002</v>
      </c>
      <c r="F23" s="31">
        <f t="shared" si="0"/>
        <v>7.3333333333333334E-2</v>
      </c>
      <c r="G23" s="31">
        <f>IFERROR(VLOOKUP($C23,Data!$A$82:$L$83,12,),0)</f>
        <v>1.4300000000000002</v>
      </c>
      <c r="H23" s="31">
        <f>IFERROR(VLOOKUP($C23,Data!$A$82:$I$83,6,),0)</f>
        <v>110</v>
      </c>
      <c r="I23" s="32"/>
      <c r="J23" s="33">
        <f>+(H23-(H23*I23))*E23</f>
        <v>242.00000000000003</v>
      </c>
      <c r="K23" s="53"/>
    </row>
    <row r="24" spans="1:11" ht="22.2" customHeight="1">
      <c r="A24" s="72" t="str">
        <f>IFERROR(VLOOKUP($C24,Data!$A$86:$N$88,14,),"")</f>
        <v>520080070000001</v>
      </c>
      <c r="B24" s="34" t="s">
        <v>113</v>
      </c>
      <c r="C24" s="44" t="s">
        <v>74</v>
      </c>
      <c r="D24" s="30" t="s">
        <v>9</v>
      </c>
      <c r="E24" s="31">
        <f>IFERROR(VLOOKUP($C24,Data!$A$86:$K$88,11,),0)</f>
        <v>8.75</v>
      </c>
      <c r="F24" s="31">
        <f t="shared" si="0"/>
        <v>0.29166666666666669</v>
      </c>
      <c r="G24" s="31">
        <f>IFERROR(VLOOKUP($C24,Data!$A$86:$L$88,12,),0)</f>
        <v>8.7500000000000008E-2</v>
      </c>
      <c r="H24" s="31">
        <f>IFERROR(VLOOKUP($C24,Data!$A$86:$I$88,6,),0)</f>
        <v>2</v>
      </c>
      <c r="I24" s="32"/>
      <c r="J24" s="33">
        <f t="shared" ref="J24" si="2">+(H24-(H24*I24))*E24</f>
        <v>17.5</v>
      </c>
      <c r="K24" s="53"/>
    </row>
    <row r="25" spans="1:11" ht="22.2" customHeight="1">
      <c r="A25" s="72" t="str">
        <f>IFERROR(VLOOKUP($C25,Data!$A$86:$N$88,14,),"")</f>
        <v>520080070000001</v>
      </c>
      <c r="B25" s="34" t="s">
        <v>114</v>
      </c>
      <c r="C25" s="44" t="s">
        <v>74</v>
      </c>
      <c r="D25" s="30" t="s">
        <v>9</v>
      </c>
      <c r="E25" s="31">
        <f>IFERROR(VLOOKUP($C25,Data!$A$86:$K$88,11,),0)</f>
        <v>8.75</v>
      </c>
      <c r="F25" s="31">
        <f t="shared" si="0"/>
        <v>0.29166666666666669</v>
      </c>
      <c r="G25" s="31">
        <f>IFERROR(VLOOKUP($C25,Data!$A$86:$L$88,12,),0)</f>
        <v>8.7500000000000008E-2</v>
      </c>
      <c r="H25" s="31">
        <f>IFERROR(VLOOKUP($C25,Data!$A$86:$I$88,6,),0)</f>
        <v>2</v>
      </c>
      <c r="I25" s="32"/>
      <c r="J25" s="33">
        <f t="shared" si="1"/>
        <v>17.5</v>
      </c>
      <c r="K25" s="53"/>
    </row>
    <row r="26" spans="1:11" ht="22.2" customHeight="1">
      <c r="A26" s="72" t="str">
        <f>IFERROR(VLOOKUP($C26,Data!$A$91:$N$95,14,),"")</f>
        <v>520080080000002</v>
      </c>
      <c r="B26" s="34" t="s">
        <v>60</v>
      </c>
      <c r="C26" s="44" t="s">
        <v>77</v>
      </c>
      <c r="D26" s="36" t="s">
        <v>99</v>
      </c>
      <c r="E26" s="31">
        <f>(IFERROR(VLOOKUP($C26,Data!$A$91:$K$95,11,),0))/2</f>
        <v>0.22500000000000001</v>
      </c>
      <c r="F26" s="31">
        <f t="shared" si="0"/>
        <v>7.5000000000000006E-3</v>
      </c>
      <c r="G26" s="31">
        <f>IFERROR(VLOOKUP($C26,Data!$A$91:$L$95,12,),0)</f>
        <v>0.45</v>
      </c>
      <c r="H26" s="31">
        <f>IFERROR(VLOOKUP($C26,Data!$A$91:$I$95,6,),0)</f>
        <v>115</v>
      </c>
      <c r="I26" s="32"/>
      <c r="J26" s="33">
        <f t="shared" si="1"/>
        <v>25.875</v>
      </c>
      <c r="K26" s="53"/>
    </row>
    <row r="27" spans="1:11" ht="22.2" customHeight="1">
      <c r="A27" s="72" t="str">
        <f>IFERROR(VLOOKUP($C27,Data!$A$98:$N$102,14,),"")</f>
        <v>520080080000013</v>
      </c>
      <c r="B27" s="35" t="s">
        <v>61</v>
      </c>
      <c r="C27" s="45" t="s">
        <v>80</v>
      </c>
      <c r="D27" s="36" t="s">
        <v>99</v>
      </c>
      <c r="E27" s="31">
        <f>(IFERROR(VLOOKUP($C27,Data!$A$98:$K$102,11,),0)/2)</f>
        <v>0.22</v>
      </c>
      <c r="F27" s="31">
        <f t="shared" si="0"/>
        <v>7.3333333333333332E-3</v>
      </c>
      <c r="G27" s="31">
        <f>IFERROR(VLOOKUP($C27,Data!$A$98:$L$102,12,),0)</f>
        <v>0</v>
      </c>
      <c r="H27" s="31">
        <f>IFERROR(VLOOKUP($C27,Data!$A$98:$I$102,6,),0)</f>
        <v>680</v>
      </c>
      <c r="I27" s="32"/>
      <c r="J27" s="33">
        <f>+(H27-(H27*I27))*E27</f>
        <v>149.6</v>
      </c>
      <c r="K27" s="53"/>
    </row>
    <row r="28" spans="1:11" ht="22.2" customHeight="1">
      <c r="A28" s="72" t="str">
        <f>IFERROR(VLOOKUP($C28,Data!$A$105:$N$106,14,),"")</f>
        <v>520080080000004</v>
      </c>
      <c r="B28" s="35" t="s">
        <v>62</v>
      </c>
      <c r="C28" s="45" t="s">
        <v>82</v>
      </c>
      <c r="D28" s="36" t="s">
        <v>99</v>
      </c>
      <c r="E28" s="31">
        <f>IFERROR(VLOOKUP($C28,Data!$A$105:$K$106,11,),0)</f>
        <v>0.18000000000000002</v>
      </c>
      <c r="F28" s="31">
        <f t="shared" si="0"/>
        <v>6.000000000000001E-3</v>
      </c>
      <c r="G28" s="31">
        <f>IFERROR(VLOOKUP($C28,Data!$A$105:$L$106,12,),0)</f>
        <v>0.18000000000000002</v>
      </c>
      <c r="H28" s="31">
        <f>IFERROR(VLOOKUP($C28,Data!$A$105:$I$106,6,),0)</f>
        <v>320</v>
      </c>
      <c r="I28" s="32"/>
      <c r="J28" s="33">
        <f>+(H28-(H28*I28))*E28</f>
        <v>57.600000000000009</v>
      </c>
      <c r="K28" s="53"/>
    </row>
    <row r="29" spans="1:11" ht="22.2" customHeight="1">
      <c r="A29" s="72" t="str">
        <f>IFERROR(VLOOKUP($C29,Data!$A$109:$N$111,14,),"")</f>
        <v>410010010800001</v>
      </c>
      <c r="B29" s="11" t="s">
        <v>63</v>
      </c>
      <c r="C29" s="46" t="s">
        <v>139</v>
      </c>
      <c r="D29" s="10" t="s">
        <v>97</v>
      </c>
      <c r="E29" s="31">
        <f>(IFERROR(VLOOKUP($C29,Data!$A$109:$K$111,11,),0)/2)</f>
        <v>0.29749999999999999</v>
      </c>
      <c r="F29" s="31">
        <f t="shared" si="0"/>
        <v>9.9166666666666656E-3</v>
      </c>
      <c r="G29" s="31">
        <f>IFERROR(VLOOKUP($C29,Data!$A$109:$L$111,12,),0)</f>
        <v>11.899999999999999</v>
      </c>
      <c r="H29" s="31">
        <f>IFERROR(VLOOKUP($C29,Data!$A$109:$I$111,6,),0)</f>
        <v>190</v>
      </c>
      <c r="I29" s="32"/>
      <c r="J29" s="33">
        <f t="shared" ref="J29:J34" si="3">+(H29-(H29*I29))*E29</f>
        <v>56.524999999999999</v>
      </c>
      <c r="K29" s="53"/>
    </row>
    <row r="30" spans="1:11" ht="22.2" customHeight="1">
      <c r="A30" s="72" t="str">
        <f>IFERROR(VLOOKUP($C30,Data!$A$113:$N$117,14,),"")</f>
        <v>520080140000001</v>
      </c>
      <c r="B30" s="11" t="s">
        <v>93</v>
      </c>
      <c r="C30" s="46" t="s">
        <v>94</v>
      </c>
      <c r="D30" s="10" t="s">
        <v>9</v>
      </c>
      <c r="E30" s="31">
        <f>(IFERROR(VLOOKUP($C30,Data!$A$113:$K$117,11,),0)/2)</f>
        <v>0.78749999999999998</v>
      </c>
      <c r="F30" s="31">
        <f t="shared" si="0"/>
        <v>2.6249999999999999E-2</v>
      </c>
      <c r="G30" s="31">
        <f>IFERROR(VLOOKUP($C30,Data!$A$113:$L$117,12,),0)</f>
        <v>0.39374999999999999</v>
      </c>
      <c r="H30" s="31">
        <f>IFERROR(VLOOKUP($C30,Data!$A$113:$I$117,6,),0)</f>
        <v>37</v>
      </c>
      <c r="I30" s="32"/>
      <c r="J30" s="33">
        <f t="shared" si="3"/>
        <v>29.137499999999999</v>
      </c>
      <c r="K30" s="53"/>
    </row>
    <row r="31" spans="1:11" ht="22.2" customHeight="1">
      <c r="A31" s="72" t="str">
        <f>IFERROR(VLOOKUP($C31,Data!$A$119:$N$120,14,),"")</f>
        <v>520088260000009</v>
      </c>
      <c r="B31" s="9" t="s">
        <v>64</v>
      </c>
      <c r="C31" s="9" t="s">
        <v>141</v>
      </c>
      <c r="D31" s="10" t="s">
        <v>9</v>
      </c>
      <c r="E31" s="31">
        <f>IFERROR(VLOOKUP($C31,Data!$A$119:$K$120,11,),0)</f>
        <v>1.75</v>
      </c>
      <c r="F31" s="31">
        <f t="shared" si="0"/>
        <v>5.8333333333333334E-2</v>
      </c>
      <c r="G31" s="31">
        <f>IFERROR(VLOOKUP($C31,Data!$A$119:$L$120,12,),0)</f>
        <v>75.599999999999994</v>
      </c>
      <c r="H31" s="31">
        <f>IFERROR(VLOOKUP($C31,Data!$A$119:$I$120,6,),0)</f>
        <v>2965</v>
      </c>
      <c r="I31" s="32"/>
      <c r="J31" s="33">
        <f t="shared" si="3"/>
        <v>5188.75</v>
      </c>
      <c r="K31" s="53"/>
    </row>
    <row r="32" spans="1:11" ht="22.2" customHeight="1">
      <c r="A32" s="72" t="str">
        <f>IFERROR(VLOOKUP($C$32,Data!$A$123:$N$133,14,),"")</f>
        <v/>
      </c>
      <c r="B32" s="9" t="s">
        <v>65</v>
      </c>
      <c r="C32" s="9" t="s">
        <v>88</v>
      </c>
      <c r="D32" s="10" t="s">
        <v>9</v>
      </c>
      <c r="E32" s="31">
        <f>IFERROR(VLOOKUP($C32,Data!A123:K133,9,),0)</f>
        <v>0</v>
      </c>
      <c r="F32" s="31">
        <f t="shared" si="0"/>
        <v>0</v>
      </c>
      <c r="G32" s="31">
        <f>IFERROR(VLOOKUP($C$32,Data!$A$123:$L$133,12,),0)</f>
        <v>0</v>
      </c>
      <c r="H32" s="31">
        <f>IFERROR(VLOOKUP($C$32,Data!$A$123:$I$133,6,),0)</f>
        <v>0</v>
      </c>
      <c r="I32" s="32"/>
      <c r="J32" s="33">
        <f t="shared" si="3"/>
        <v>0</v>
      </c>
      <c r="K32" s="51"/>
    </row>
    <row r="33" spans="1:11" ht="22.2" customHeight="1">
      <c r="A33" s="72" t="str">
        <f>IFERROR(VLOOKUP($C33,Data!$A$113:$N$117,14,),"")</f>
        <v/>
      </c>
      <c r="B33" s="11" t="s">
        <v>147</v>
      </c>
      <c r="C33" s="46"/>
      <c r="D33" s="10" t="s">
        <v>116</v>
      </c>
      <c r="E33" s="31">
        <f>IFERROR(VLOOKUP($C33,Data!$A$113:$K$117,11,),0)</f>
        <v>0</v>
      </c>
      <c r="F33" s="31">
        <f t="shared" si="0"/>
        <v>0</v>
      </c>
      <c r="G33" s="31">
        <f>IFERROR(VLOOKUP($C33,Data!$A$113:$L$117,12,),0)</f>
        <v>0</v>
      </c>
      <c r="H33" s="31">
        <f>IFERROR(VLOOKUP($C33,Data!$A$113:$I$117,6,),0)</f>
        <v>0</v>
      </c>
      <c r="I33" s="32"/>
      <c r="J33" s="33">
        <f t="shared" si="3"/>
        <v>0</v>
      </c>
      <c r="K33" s="75" t="s">
        <v>191</v>
      </c>
    </row>
    <row r="34" spans="1:11" ht="22.2" customHeight="1">
      <c r="A34" s="72" t="str">
        <f>IFERROR(VLOOKUP($C34,Data!$A$123:$N$127,14,),"")</f>
        <v/>
      </c>
      <c r="B34" s="9" t="s">
        <v>140</v>
      </c>
      <c r="C34" s="9"/>
      <c r="D34" s="10" t="s">
        <v>9</v>
      </c>
      <c r="E34" s="31">
        <f>IFERROR(VLOOKUP($C34,Data!$A$123:$K$132,11,),0)</f>
        <v>0</v>
      </c>
      <c r="F34" s="31">
        <f t="shared" si="0"/>
        <v>0</v>
      </c>
      <c r="G34" s="31">
        <f>IFERROR(VLOOKUP($C34,Data!$A$123:$L$132,12,),0)</f>
        <v>0</v>
      </c>
      <c r="H34" s="31">
        <f>IFERROR(VLOOKUP($C34,Data!$A$123:$I$132,6,),0)</f>
        <v>0</v>
      </c>
      <c r="I34" s="32"/>
      <c r="J34" s="33">
        <f t="shared" si="3"/>
        <v>0</v>
      </c>
      <c r="K34" s="75" t="s">
        <v>191</v>
      </c>
    </row>
    <row r="35" spans="1:11" ht="22.2" customHeight="1" thickBot="1">
      <c r="A35" s="73"/>
      <c r="B35" s="13"/>
      <c r="C35" s="13"/>
      <c r="D35" s="14"/>
      <c r="E35" s="15"/>
      <c r="F35" s="61"/>
      <c r="G35" s="61"/>
      <c r="H35" s="16"/>
      <c r="I35" s="16"/>
      <c r="J35" s="16"/>
      <c r="K35" s="17"/>
    </row>
    <row r="36" spans="1:11" ht="21" thickBot="1">
      <c r="A36" s="18" t="s">
        <v>10</v>
      </c>
      <c r="C36" s="18"/>
      <c r="F36" s="19" t="s">
        <v>134</v>
      </c>
      <c r="G36" s="62">
        <f>SUM($G13:$G35)</f>
        <v>1003.8375499999997</v>
      </c>
      <c r="H36" s="19" t="s">
        <v>11</v>
      </c>
      <c r="I36" s="19"/>
      <c r="J36" s="20">
        <f t="array" ref="J36">SUM(IFERROR(J14:J35,0))</f>
        <v>32092.927500000002</v>
      </c>
      <c r="K36" s="17"/>
    </row>
    <row r="37" spans="1:11" ht="20.399999999999999">
      <c r="A37" s="18"/>
      <c r="C37" s="18"/>
      <c r="F37" s="19" t="s">
        <v>133</v>
      </c>
      <c r="G37" s="62">
        <f>$G$36/($D$7*$D$8)</f>
        <v>33.461251666666655</v>
      </c>
      <c r="H37" s="19"/>
      <c r="I37" s="21" t="s">
        <v>12</v>
      </c>
      <c r="J37" s="22">
        <f>$J$36/($D$7*$D$8)</f>
        <v>1069.7642499999999</v>
      </c>
      <c r="K37" s="23" t="s">
        <v>13</v>
      </c>
    </row>
    <row r="38" spans="1:11" ht="19.8">
      <c r="A38" s="24" t="s">
        <v>14</v>
      </c>
      <c r="C38" s="24"/>
      <c r="D38" s="25"/>
      <c r="E38" s="26"/>
      <c r="F38" s="26"/>
      <c r="G38" s="26"/>
      <c r="H38" s="26"/>
      <c r="I38" s="26"/>
      <c r="J38" s="25"/>
      <c r="K38" s="26"/>
    </row>
    <row r="39" spans="1:11" ht="21">
      <c r="A39" s="27" t="s">
        <v>15</v>
      </c>
      <c r="C39" s="27"/>
      <c r="D39" s="25"/>
      <c r="E39" s="26"/>
      <c r="F39" s="26"/>
      <c r="G39" s="26"/>
      <c r="J39" s="25"/>
      <c r="K39" s="26"/>
    </row>
    <row r="40" spans="1:11" ht="21">
      <c r="A40" s="27" t="s">
        <v>16</v>
      </c>
      <c r="C40" s="27"/>
      <c r="D40" s="25"/>
      <c r="E40" s="26"/>
      <c r="F40" s="26"/>
      <c r="G40" s="26"/>
      <c r="J40" s="25"/>
      <c r="K40" s="26"/>
    </row>
    <row r="41" spans="1:11" ht="21">
      <c r="A41" s="27" t="s">
        <v>17</v>
      </c>
      <c r="C41" s="27"/>
      <c r="D41" s="25"/>
    </row>
    <row r="42" spans="1:11" ht="21">
      <c r="B42" s="27"/>
      <c r="C42" s="27"/>
    </row>
  </sheetData>
  <mergeCells count="5">
    <mergeCell ref="K14:K15"/>
    <mergeCell ref="A2:K2"/>
    <mergeCell ref="A3:K3"/>
    <mergeCell ref="A1:K1"/>
    <mergeCell ref="A13:C13"/>
  </mergeCells>
  <dataValidations count="2">
    <dataValidation type="list" allowBlank="1" showInputMessage="1" showErrorMessage="1" sqref="D5">
      <formula1>Frames</formula1>
    </dataValidation>
    <dataValidation type="list" allowBlank="1" showInputMessage="1" showErrorMessage="1" sqref="C30">
      <formula1>$A$126:$A$130</formula1>
    </dataValidation>
  </dataValidations>
  <pageMargins left="0.7" right="0.7" top="0.75" bottom="0.75" header="0.3" footer="0.3"/>
  <pageSetup paperSize="9" scale="60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>
          <x14:formula1>
            <xm:f>Data!$A$123:$A$132</xm:f>
          </x14:formula1>
          <xm:sqref>C34</xm:sqref>
        </x14:dataValidation>
        <x14:dataValidation type="list" allowBlank="1" showInputMessage="1" showErrorMessage="1">
          <x14:formula1>
            <xm:f>Data!$A$105:$A$106</xm:f>
          </x14:formula1>
          <xm:sqref>C28</xm:sqref>
        </x14:dataValidation>
        <x14:dataValidation type="list" allowBlank="1" showInputMessage="1" showErrorMessage="1">
          <x14:formula1>
            <xm:f>Data!$A$98:$A$102</xm:f>
          </x14:formula1>
          <xm:sqref>C27</xm:sqref>
        </x14:dataValidation>
        <x14:dataValidation type="list" allowBlank="1" showInputMessage="1" showErrorMessage="1">
          <x14:formula1>
            <xm:f>Data!$A$91:$A$95</xm:f>
          </x14:formula1>
          <xm:sqref>C26</xm:sqref>
        </x14:dataValidation>
        <x14:dataValidation type="list" allowBlank="1" showInputMessage="1" showErrorMessage="1">
          <x14:formula1>
            <xm:f>Data!$A$86:$A$88</xm:f>
          </x14:formula1>
          <xm:sqref>C24:C25</xm:sqref>
        </x14:dataValidation>
        <x14:dataValidation type="list" allowBlank="1" showInputMessage="1" showErrorMessage="1">
          <x14:formula1>
            <xm:f>Data!$A$82:$A$83</xm:f>
          </x14:formula1>
          <xm:sqref>C23</xm:sqref>
        </x14:dataValidation>
        <x14:dataValidation type="list" allowBlank="1" showInputMessage="1" showErrorMessage="1">
          <x14:formula1>
            <xm:f>Data!$A$71:$A$75</xm:f>
          </x14:formula1>
          <xm:sqref>C22</xm:sqref>
        </x14:dataValidation>
        <x14:dataValidation type="list" allowBlank="1" showInputMessage="1" showErrorMessage="1">
          <x14:formula1>
            <xm:f>Data!$A$29:$A$37</xm:f>
          </x14:formula1>
          <xm:sqref>C17</xm:sqref>
        </x14:dataValidation>
        <x14:dataValidation type="list" allowBlank="1" showInputMessage="1" showErrorMessage="1">
          <x14:formula1>
            <xm:f>Data!$A$9:$A$18</xm:f>
          </x14:formula1>
          <xm:sqref>C15</xm:sqref>
        </x14:dataValidation>
        <x14:dataValidation type="list" allowBlank="1" showInputMessage="1" showErrorMessage="1">
          <x14:formula1>
            <xm:f>Data!$A$123:$A$133</xm:f>
          </x14:formula1>
          <xm:sqref>C32</xm:sqref>
        </x14:dataValidation>
        <x14:dataValidation type="list" allowBlank="1" showInputMessage="1" showErrorMessage="1">
          <x14:formula1>
            <xm:f>Data!$A$9:$A$10</xm:f>
          </x14:formula1>
          <xm:sqref>C18</xm:sqref>
        </x14:dataValidation>
        <x14:dataValidation type="list" allowBlank="1" showInputMessage="1" showErrorMessage="1">
          <x14:formula1>
            <xm:f>Data!$A$9:$A$18</xm:f>
          </x14:formula1>
          <xm:sqref>C14</xm:sqref>
        </x14:dataValidation>
        <x14:dataValidation type="list" allowBlank="1" showInputMessage="1" showErrorMessage="1">
          <x14:formula1>
            <xm:f>Data!$A$29:$A$37</xm:f>
          </x14:formula1>
          <xm:sqref>C16</xm:sqref>
        </x14:dataValidation>
        <x14:dataValidation type="list" allowBlank="1" showInputMessage="1" showErrorMessage="1">
          <x14:formula1>
            <xm:f>Data!$A$119:$A$121</xm:f>
          </x14:formula1>
          <xm:sqref>C31</xm:sqref>
        </x14:dataValidation>
        <x14:dataValidation type="list" allowBlank="1" showInputMessage="1" showErrorMessage="1">
          <x14:formula1>
            <xm:f>Data!$A$109:$A$111</xm:f>
          </x14:formula1>
          <xm:sqref>C29</xm:sqref>
        </x14:dataValidation>
        <x14:dataValidation type="list" allowBlank="1" showInputMessage="1" showErrorMessage="1">
          <x14:formula1>
            <xm:f>Data!$A$39:$A$68</xm:f>
          </x14:formula1>
          <xm:sqref>C19:C21</xm:sqref>
        </x14:dataValidation>
        <x14:dataValidation type="list" allowBlank="1" showInputMessage="1" showErrorMessage="1">
          <x14:formula1>
            <xm:f>Data!$A$113:$A$117</xm:f>
          </x14:formula1>
          <xm:sqref>C33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138"/>
  <sheetViews>
    <sheetView topLeftCell="A37" workbookViewId="0">
      <selection activeCell="A114" sqref="A114"/>
    </sheetView>
  </sheetViews>
  <sheetFormatPr defaultRowHeight="14.4"/>
  <cols>
    <col min="1" max="1" width="28.88671875" bestFit="1" customWidth="1"/>
    <col min="6" max="6" width="8.88671875" style="49"/>
    <col min="7" max="7" width="11.33203125" style="42" bestFit="1" customWidth="1"/>
    <col min="8" max="8" width="11.33203125" style="42" customWidth="1"/>
    <col min="9" max="9" width="11.33203125" style="42" bestFit="1" customWidth="1"/>
    <col min="10" max="10" width="11.33203125" style="42" customWidth="1"/>
    <col min="11" max="12" width="8.88671875" style="42"/>
    <col min="14" max="14" width="16.109375" style="69" bestFit="1" customWidth="1"/>
  </cols>
  <sheetData>
    <row r="1" spans="1:14">
      <c r="B1" s="40"/>
      <c r="C1" s="47"/>
      <c r="D1" s="47"/>
      <c r="E1" s="47"/>
      <c r="F1" s="56"/>
      <c r="G1" s="177" t="s">
        <v>18</v>
      </c>
      <c r="H1" s="177"/>
      <c r="I1" s="177"/>
      <c r="J1" s="177"/>
      <c r="K1" s="177"/>
      <c r="L1" s="60"/>
    </row>
    <row r="2" spans="1:14">
      <c r="B2" s="47"/>
      <c r="C2" s="47"/>
      <c r="D2" s="47"/>
      <c r="E2" s="47"/>
      <c r="F2" s="57" t="s">
        <v>98</v>
      </c>
      <c r="G2" s="48" t="s">
        <v>20</v>
      </c>
      <c r="H2" s="48"/>
      <c r="I2" s="60" t="s">
        <v>19</v>
      </c>
      <c r="J2" s="60"/>
      <c r="K2" s="58" t="s">
        <v>131</v>
      </c>
      <c r="L2" s="58"/>
    </row>
    <row r="3" spans="1:14">
      <c r="A3" t="s">
        <v>25</v>
      </c>
      <c r="B3" t="s">
        <v>27</v>
      </c>
      <c r="C3" t="s">
        <v>28</v>
      </c>
      <c r="E3" t="s">
        <v>132</v>
      </c>
      <c r="G3" s="42" t="s">
        <v>44</v>
      </c>
      <c r="H3" s="42" t="s">
        <v>83</v>
      </c>
      <c r="J3" s="42" t="s">
        <v>135</v>
      </c>
      <c r="L3" s="42" t="s">
        <v>83</v>
      </c>
    </row>
    <row r="4" spans="1:14" ht="19.8">
      <c r="A4" t="s">
        <v>26</v>
      </c>
      <c r="B4">
        <v>3000</v>
      </c>
      <c r="C4">
        <v>49</v>
      </c>
      <c r="E4">
        <v>1.44</v>
      </c>
      <c r="F4" s="49">
        <v>120</v>
      </c>
      <c r="G4" s="42">
        <f>IF('BOQ Single Frame'!$D$6*1000/Data!$B4&lt;=1,ROUNDUP((('BOQ Single Frame'!$D$6*1000/Data!$B4)*('BOQ Single Frame'!$D$7*1000/'BOQ Single Frame'!$D$8)*(1+'BOQ Single Frame'!$D$9)),2),ROUNDUP(((('BOQ Single Frame'!$D$6*1000/Data!$B4)+(ROUNDUP('BOQ Single Frame'!$D$6*1000/Data!$B4,0)*600/$B4))*('BOQ Single Frame'!$D$7*1000/'BOQ Single Frame'!$D$8)*(1+'BOQ Single Frame'!$D$9)),2))</f>
        <v>24.5</v>
      </c>
      <c r="H4" s="42">
        <f>$G4*$E4</f>
        <v>35.28</v>
      </c>
      <c r="I4" s="42">
        <f>IF('BOQ Twin Frame'!$D$7*1000/Data!$B4&lt;=1,(ROUNDUP((('BOQ Twin Frame'!$D$7*1000/Data!$B4)*('BOQ Twin Frame'!$D$8*1000/'BOQ Twin Frame'!$D$9)*(1+'BOQ Twin Frame'!$D$12)),2)),(ROUNDUP(((('BOQ Twin Frame'!$D$7*1000/Data!$B4)+(ROUNDUP('BOQ Twin Frame'!$D$7*1000/Data!$B4,0)*600/$B4))*('BOQ Twin Frame'!$D$8*1000/'BOQ Twin Frame'!$D$9)*(1+'BOQ Twin Frame'!$D$12)),2)))</f>
        <v>51.339999999999996</v>
      </c>
      <c r="J4" s="42">
        <f>$I4*$E4</f>
        <v>73.929599999999994</v>
      </c>
      <c r="N4" s="67" t="s">
        <v>148</v>
      </c>
    </row>
    <row r="5" spans="1:14" ht="19.8">
      <c r="A5" t="s">
        <v>29</v>
      </c>
      <c r="B5">
        <v>3000</v>
      </c>
      <c r="C5">
        <v>62</v>
      </c>
      <c r="E5">
        <v>1.6</v>
      </c>
      <c r="F5" s="49">
        <v>135</v>
      </c>
      <c r="G5" s="42">
        <f>IF('BOQ Single Frame'!$D$6*1000/Data!$B5&lt;=1,ROUNDUP((('BOQ Single Frame'!$D$6*1000/Data!$B5)*('BOQ Single Frame'!$D$7*1000/'BOQ Single Frame'!$D$8)*(1+'BOQ Single Frame'!$D$9)),2),ROUNDUP(((('BOQ Single Frame'!$D$6*1000/Data!$B5)+(ROUNDUP('BOQ Single Frame'!$D$6*1000/Data!$B5,0)*600/$B5))*('BOQ Single Frame'!$D$7*1000/'BOQ Single Frame'!$D$8)*(1+'BOQ Single Frame'!$D$9)),2))</f>
        <v>24.5</v>
      </c>
      <c r="H5" s="42">
        <f t="shared" ref="H5:H64" si="0">$G5*$E5</f>
        <v>39.200000000000003</v>
      </c>
      <c r="I5" s="42">
        <f>IF('BOQ Twin Frame'!$D$7*1000/Data!$B5&lt;=1,(ROUNDUP((('BOQ Twin Frame'!$D$7*1000/Data!$B5)*('BOQ Twin Frame'!$D$8*1000/'BOQ Twin Frame'!$D$9)*(1+'BOQ Twin Frame'!$D$12)),2)),(ROUNDUP(((('BOQ Twin Frame'!$D$7*1000/Data!$B5)+(ROUNDUP('BOQ Twin Frame'!$D$7*1000/Data!$B5,0)*600/$B5))*('BOQ Twin Frame'!$D$8*1000/'BOQ Twin Frame'!$D$9)*(1+'BOQ Twin Frame'!$D$12)),2)))</f>
        <v>51.339999999999996</v>
      </c>
      <c r="J5" s="42">
        <f t="shared" ref="J5:J64" si="1">$I5*$E5</f>
        <v>82.144000000000005</v>
      </c>
      <c r="N5" s="67" t="s">
        <v>149</v>
      </c>
    </row>
    <row r="6" spans="1:14" ht="19.8">
      <c r="A6" t="s">
        <v>30</v>
      </c>
      <c r="B6">
        <v>3000</v>
      </c>
      <c r="C6">
        <v>74</v>
      </c>
      <c r="E6">
        <v>1.73</v>
      </c>
      <c r="F6" s="49">
        <v>145</v>
      </c>
      <c r="G6" s="42">
        <f>IF('BOQ Single Frame'!$D$6*1000/Data!$B6&lt;=1,ROUNDUP((('BOQ Single Frame'!$D$6*1000/Data!$B6)*('BOQ Single Frame'!$D$7*1000/'BOQ Single Frame'!$D$8)*(1+'BOQ Single Frame'!$D$9)),2),ROUNDUP(((('BOQ Single Frame'!$D$6*1000/Data!$B6)+(ROUNDUP('BOQ Single Frame'!$D$6*1000/Data!$B6,0)*600/$B6))*('BOQ Single Frame'!$D$7*1000/'BOQ Single Frame'!$D$8)*(1+'BOQ Single Frame'!$D$9)),2))</f>
        <v>24.5</v>
      </c>
      <c r="H6" s="42">
        <f t="shared" si="0"/>
        <v>42.384999999999998</v>
      </c>
      <c r="I6" s="42">
        <f>IF('BOQ Twin Frame'!$D$7*1000/Data!$B6&lt;=1,(ROUNDUP((('BOQ Twin Frame'!$D$7*1000/Data!$B6)*('BOQ Twin Frame'!$D$8*1000/'BOQ Twin Frame'!$D$9)*(1+'BOQ Twin Frame'!$D$12)),2)),(ROUNDUP(((('BOQ Twin Frame'!$D$7*1000/Data!$B6)+(ROUNDUP('BOQ Twin Frame'!$D$7*1000/Data!$B6,0)*600/$B6))*('BOQ Twin Frame'!$D$8*1000/'BOQ Twin Frame'!$D$9)*(1+'BOQ Twin Frame'!$D$12)),2)))</f>
        <v>51.339999999999996</v>
      </c>
      <c r="J6" s="42">
        <f t="shared" si="1"/>
        <v>88.81819999999999</v>
      </c>
      <c r="N6" s="67" t="s">
        <v>150</v>
      </c>
    </row>
    <row r="7" spans="1:14" ht="19.8">
      <c r="A7" t="s">
        <v>31</v>
      </c>
      <c r="B7">
        <v>3000</v>
      </c>
      <c r="C7">
        <v>92</v>
      </c>
      <c r="E7">
        <v>1.95</v>
      </c>
      <c r="F7" s="49">
        <v>160</v>
      </c>
      <c r="G7" s="42">
        <f>IF('BOQ Single Frame'!$D$6*1000/Data!$B7&lt;=1,ROUNDUP((('BOQ Single Frame'!$D$6*1000/Data!$B7)*('BOQ Single Frame'!$D$7*1000/'BOQ Single Frame'!$D$8)*(1+'BOQ Single Frame'!$D$9)),2),ROUNDUP(((('BOQ Single Frame'!$D$6*1000/Data!$B7)+(ROUNDUP('BOQ Single Frame'!$D$6*1000/Data!$B7,0)*600/$B7))*('BOQ Single Frame'!$D$7*1000/'BOQ Single Frame'!$D$8)*(1+'BOQ Single Frame'!$D$9)),2))</f>
        <v>24.5</v>
      </c>
      <c r="H7" s="42">
        <f t="shared" si="0"/>
        <v>47.774999999999999</v>
      </c>
      <c r="I7" s="42">
        <f>IF('BOQ Twin Frame'!$D$7*1000/Data!$B7&lt;=1,(ROUNDUP((('BOQ Twin Frame'!$D$7*1000/Data!$B7)*('BOQ Twin Frame'!$D$8*1000/'BOQ Twin Frame'!$D$9)*(1+'BOQ Twin Frame'!$D$12)),2)),(ROUNDUP(((('BOQ Twin Frame'!$D$7*1000/Data!$B7)+(ROUNDUP('BOQ Twin Frame'!$D$7*1000/Data!$B7,0)*600/$B7))*('BOQ Twin Frame'!$D$8*1000/'BOQ Twin Frame'!$D$9)*(1+'BOQ Twin Frame'!$D$12)),2)))</f>
        <v>51.339999999999996</v>
      </c>
      <c r="J7" s="42">
        <f t="shared" si="1"/>
        <v>100.11299999999999</v>
      </c>
      <c r="N7" s="67" t="s">
        <v>151</v>
      </c>
    </row>
    <row r="8" spans="1:14" ht="19.8">
      <c r="N8" s="67"/>
    </row>
    <row r="9" spans="1:14" ht="19.8">
      <c r="A9" t="s">
        <v>208</v>
      </c>
      <c r="B9">
        <v>3000</v>
      </c>
      <c r="C9">
        <v>70</v>
      </c>
      <c r="K9" s="42">
        <f>IF('BOQ ShaftWall'!$D$7*1000/Data!$B9&lt;=1,ROUNDUP((('BOQ ShaftWall'!$D$7*1000/Data!$B9)*('BOQ ShaftWall'!$D$8*1000/'BOQ ShaftWall'!$D$9)*(1+'BOQ ShaftWall'!$D$11)),2),ROUNDUP(((('BOQ ShaftWall'!$D$7*1000/Data!$B9)+(ROUNDUP('BOQ ShaftWall'!$D$7*1000/Data!$B9,0)*600/$B9))*('BOQ ShaftWall'!$D$8*1000/'BOQ ShaftWall'!$D$9)*(1+'BOQ ShaftWall'!$D$11)),2))</f>
        <v>17.5</v>
      </c>
      <c r="N9" s="67"/>
    </row>
    <row r="10" spans="1:14" ht="19.8">
      <c r="A10" t="s">
        <v>209</v>
      </c>
      <c r="B10">
        <v>2400</v>
      </c>
      <c r="C10">
        <v>25</v>
      </c>
      <c r="D10">
        <v>25</v>
      </c>
      <c r="E10">
        <v>0.43</v>
      </c>
      <c r="F10" s="49">
        <v>36</v>
      </c>
      <c r="K10" s="42">
        <f>IF('BOQ ShaftWall'!$D$7*1000/Data!$B10&lt;=1,ROUNDUP((('BOQ ShaftWall'!$D$7*1000/Data!$B10)*('BOQ ShaftWall'!$D$8*1000/'BOQ ShaftWall'!$D$9)*(1+'BOQ ShaftWall'!$D$11)),2),ROUNDUP(((('BOQ ShaftWall'!$D$7*1000/Data!$B10)+(ROUNDUP('BOQ ShaftWall'!$D$7*1000/Data!$B10,0)*600/$B10))*('BOQ ShaftWall'!$D$8*1000/'BOQ ShaftWall'!$D$9)*(1+'BOQ ShaftWall'!$D$11)),2))</f>
        <v>30.630000000000003</v>
      </c>
      <c r="N10" s="67" t="s">
        <v>210</v>
      </c>
    </row>
    <row r="12" spans="1:14">
      <c r="A12" t="s">
        <v>118</v>
      </c>
      <c r="B12">
        <v>3000</v>
      </c>
      <c r="C12">
        <v>63</v>
      </c>
      <c r="F12" s="49">
        <f>4.153*35*2</f>
        <v>290.70999999999998</v>
      </c>
      <c r="K12" s="42">
        <f>IF('BOQ ShaftWall'!$D$7*1000/Data!$B12&lt;=1,ROUNDUP((('BOQ ShaftWall'!$D$7*1000/Data!$B12)*('BOQ ShaftWall'!$D$8*1000/'BOQ ShaftWall'!$D$9)*(1+'BOQ ShaftWall'!$D$11)),2),ROUNDUP(((('BOQ ShaftWall'!$D$7*1000/Data!$B12)+(ROUNDUP('BOQ ShaftWall'!$D$7*1000/Data!$B12,0)*600/$B12))*('BOQ ShaftWall'!$D$8*1000/'BOQ ShaftWall'!$D$9)*(1+'BOQ ShaftWall'!$D$11)),2))</f>
        <v>17.5</v>
      </c>
      <c r="L12" s="42">
        <f t="shared" ref="L12:L17" si="2">$K12*$E12</f>
        <v>0</v>
      </c>
    </row>
    <row r="13" spans="1:14">
      <c r="A13" t="s">
        <v>119</v>
      </c>
      <c r="B13">
        <v>3000</v>
      </c>
      <c r="C13">
        <v>76</v>
      </c>
      <c r="F13" s="49">
        <f>4.395*35*2</f>
        <v>307.64999999999998</v>
      </c>
      <c r="K13" s="42">
        <f>IF('BOQ ShaftWall'!$D$7*1000/Data!$B13&lt;=1,ROUNDUP((('BOQ ShaftWall'!$D$7*1000/Data!$B13)*('BOQ ShaftWall'!$D$8*1000/'BOQ ShaftWall'!$D$9)*(1+'BOQ ShaftWall'!$D$11)),2),ROUNDUP(((('BOQ ShaftWall'!$D$7*1000/Data!$B13)+(ROUNDUP('BOQ ShaftWall'!$D$7*1000/Data!$B13,0)*600/$B13))*('BOQ ShaftWall'!$D$8*1000/'BOQ ShaftWall'!$D$9)*(1+'BOQ ShaftWall'!$D$11)),2))</f>
        <v>17.5</v>
      </c>
      <c r="L13" s="42">
        <f t="shared" si="2"/>
        <v>0</v>
      </c>
    </row>
    <row r="14" spans="1:14">
      <c r="A14" t="s">
        <v>120</v>
      </c>
      <c r="B14">
        <v>3000</v>
      </c>
      <c r="C14">
        <v>92</v>
      </c>
      <c r="F14" s="49">
        <f>4.696*35*2</f>
        <v>328.71999999999997</v>
      </c>
      <c r="K14" s="42">
        <f>IF('BOQ ShaftWall'!$D$7*1000/Data!$B14&lt;=1,ROUNDUP((('BOQ ShaftWall'!$D$7*1000/Data!$B14)*('BOQ ShaftWall'!$D$8*1000/'BOQ ShaftWall'!$D$9)*(1+'BOQ ShaftWall'!$D$11)),2),ROUNDUP(((('BOQ ShaftWall'!$D$7*1000/Data!$B14)+(ROUNDUP('BOQ ShaftWall'!$D$7*1000/Data!$B14,0)*600/$B14))*('BOQ ShaftWall'!$D$8*1000/'BOQ ShaftWall'!$D$9)*(1+'BOQ ShaftWall'!$D$11)),2))</f>
        <v>17.5</v>
      </c>
      <c r="L14" s="42">
        <f t="shared" si="2"/>
        <v>0</v>
      </c>
    </row>
    <row r="15" spans="1:14">
      <c r="A15" t="s">
        <v>121</v>
      </c>
      <c r="B15">
        <v>3000</v>
      </c>
      <c r="C15">
        <v>100</v>
      </c>
      <c r="F15" s="49">
        <f>4.832*35*2</f>
        <v>338.24</v>
      </c>
      <c r="K15" s="42">
        <f>IF('BOQ ShaftWall'!$D$7*1000/Data!$B15&lt;=1,ROUNDUP((('BOQ ShaftWall'!$D$7*1000/Data!$B15)*('BOQ ShaftWall'!$D$8*1000/'BOQ ShaftWall'!$D$9)*(1+'BOQ ShaftWall'!$D$11)),2),ROUNDUP(((('BOQ ShaftWall'!$D$7*1000/Data!$B15)+(ROUNDUP('BOQ ShaftWall'!$D$7*1000/Data!$B15,0)*600/$B15))*('BOQ ShaftWall'!$D$8*1000/'BOQ ShaftWall'!$D$9)*(1+'BOQ ShaftWall'!$D$11)),2))</f>
        <v>17.5</v>
      </c>
      <c r="L15" s="42">
        <f t="shared" si="2"/>
        <v>0</v>
      </c>
    </row>
    <row r="16" spans="1:14">
      <c r="A16" t="s">
        <v>122</v>
      </c>
      <c r="B16">
        <v>3000</v>
      </c>
      <c r="C16">
        <v>125</v>
      </c>
      <c r="F16" s="49">
        <f>5.298*35*2</f>
        <v>370.86</v>
      </c>
      <c r="K16" s="42">
        <f>IF('BOQ ShaftWall'!$D$7*1000/Data!$B16&lt;=1,ROUNDUP((('BOQ ShaftWall'!$D$7*1000/Data!$B16)*('BOQ ShaftWall'!$D$8*1000/'BOQ ShaftWall'!$D$9)*(1+'BOQ ShaftWall'!$D$11)),2),ROUNDUP(((('BOQ ShaftWall'!$D$7*1000/Data!$B16)+(ROUNDUP('BOQ ShaftWall'!$D$7*1000/Data!$B16,0)*600/$B16))*('BOQ ShaftWall'!$D$8*1000/'BOQ ShaftWall'!$D$9)*(1+'BOQ ShaftWall'!$D$11)),2))</f>
        <v>17.5</v>
      </c>
      <c r="L16" s="42">
        <f t="shared" si="2"/>
        <v>0</v>
      </c>
    </row>
    <row r="17" spans="1:14">
      <c r="A17" t="s">
        <v>123</v>
      </c>
      <c r="B17">
        <v>3000</v>
      </c>
      <c r="C17">
        <v>150</v>
      </c>
      <c r="F17" s="49">
        <f>5.755*35*2</f>
        <v>402.84999999999997</v>
      </c>
      <c r="K17" s="42">
        <f>IF('BOQ ShaftWall'!$D$7*1000/Data!$B17&lt;=1,ROUNDUP((('BOQ ShaftWall'!$D$7*1000/Data!$B17)*('BOQ ShaftWall'!$D$8*1000/'BOQ ShaftWall'!$D$9)*(1+'BOQ ShaftWall'!$D$11)),2),ROUNDUP(((('BOQ ShaftWall'!$D$7*1000/Data!$B17)+(ROUNDUP('BOQ ShaftWall'!$D$7*1000/Data!$B17,0)*600/$B17))*('BOQ ShaftWall'!$D$8*1000/'BOQ ShaftWall'!$D$9)*(1+'BOQ ShaftWall'!$D$11)),2))</f>
        <v>17.5</v>
      </c>
      <c r="L17" s="42">
        <f t="shared" si="2"/>
        <v>0</v>
      </c>
    </row>
    <row r="19" spans="1:14">
      <c r="A19" t="s">
        <v>90</v>
      </c>
      <c r="B19" t="s">
        <v>27</v>
      </c>
      <c r="C19" t="s">
        <v>28</v>
      </c>
      <c r="E19" t="s">
        <v>132</v>
      </c>
      <c r="G19" s="42" t="s">
        <v>44</v>
      </c>
    </row>
    <row r="20" spans="1:14">
      <c r="A20" t="s">
        <v>36</v>
      </c>
      <c r="B20">
        <v>3000</v>
      </c>
      <c r="C20">
        <v>51</v>
      </c>
      <c r="E20">
        <v>1.32</v>
      </c>
      <c r="F20" s="49">
        <v>105</v>
      </c>
      <c r="G20" s="42">
        <f>ROUNDUP((('BOQ Single Frame'!$D$7*1000/$B20)*(1+'BOQ Single Frame'!$D$9)),2)</f>
        <v>3.5</v>
      </c>
      <c r="H20" s="42">
        <f t="shared" si="0"/>
        <v>4.62</v>
      </c>
      <c r="I20" s="42">
        <f>(ROUNDUP((('BOQ Twin Frame'!$D$8*1000/$B20)*(1+'BOQ Twin Frame'!$D$12)),2)*2)+(ROUNDUP((('BOQ Twin Frame'!$D$8*1000/'BOQ Twin Frame'!$D$9)*('BOQ Twin Frame'!$D$7/1.2)*('BOQ Twin Frame'!$D$10/Data!$B20)*(1+'BOQ Twin Frame'!$D$12)),2))</f>
        <v>13.129999999999999</v>
      </c>
      <c r="J20" s="42">
        <f t="shared" si="1"/>
        <v>17.331599999999998</v>
      </c>
      <c r="N20" s="68" t="s">
        <v>152</v>
      </c>
    </row>
    <row r="21" spans="1:14">
      <c r="A21" t="s">
        <v>37</v>
      </c>
      <c r="B21">
        <v>3000</v>
      </c>
      <c r="C21">
        <v>64</v>
      </c>
      <c r="E21">
        <v>1.47</v>
      </c>
      <c r="F21" s="49">
        <v>120</v>
      </c>
      <c r="G21" s="42">
        <f>ROUNDUP((('BOQ Single Frame'!$D$7*1000/$B21)*(1+'BOQ Single Frame'!$D$9)),2)</f>
        <v>3.5</v>
      </c>
      <c r="H21" s="42">
        <f t="shared" si="0"/>
        <v>5.1449999999999996</v>
      </c>
      <c r="I21" s="42">
        <f>(ROUNDUP((('BOQ Twin Frame'!$D$8*1000/$B21)*(1+'BOQ Twin Frame'!$D$12)),2)*2)+(ROUNDUP((('BOQ Twin Frame'!$D$8*1000/'BOQ Twin Frame'!$D$9)*('BOQ Twin Frame'!$D$7/1.2)*('BOQ Twin Frame'!$D$10/Data!$B21)*(1+'BOQ Twin Frame'!$D$12)),2))</f>
        <v>13.129999999999999</v>
      </c>
      <c r="J21" s="42">
        <f t="shared" si="1"/>
        <v>19.301099999999998</v>
      </c>
      <c r="N21" s="68" t="s">
        <v>153</v>
      </c>
    </row>
    <row r="22" spans="1:14">
      <c r="A22" t="s">
        <v>38</v>
      </c>
      <c r="B22">
        <v>3000</v>
      </c>
      <c r="C22">
        <v>76</v>
      </c>
      <c r="E22">
        <v>1.6</v>
      </c>
      <c r="F22" s="49">
        <v>130</v>
      </c>
      <c r="G22" s="42">
        <f>ROUNDUP((('BOQ Single Frame'!$D$7*1000/$B22)*(1+'BOQ Single Frame'!$D$9)),2)</f>
        <v>3.5</v>
      </c>
      <c r="H22" s="42">
        <f t="shared" si="0"/>
        <v>5.6000000000000005</v>
      </c>
      <c r="I22" s="42">
        <f>(ROUNDUP((('BOQ Twin Frame'!$D$8*1000/$B22)*(1+'BOQ Twin Frame'!$D$12)),2)*2)+(ROUNDUP((('BOQ Twin Frame'!$D$8*1000/'BOQ Twin Frame'!$D$9)*('BOQ Twin Frame'!$D$7/1.2)*('BOQ Twin Frame'!$D$10/Data!$B22)*(1+'BOQ Twin Frame'!$D$12)),2))</f>
        <v>13.129999999999999</v>
      </c>
      <c r="J22" s="42">
        <f t="shared" si="1"/>
        <v>21.007999999999999</v>
      </c>
      <c r="N22" s="68" t="s">
        <v>154</v>
      </c>
    </row>
    <row r="23" spans="1:14">
      <c r="A23" t="s">
        <v>39</v>
      </c>
      <c r="B23">
        <v>3000</v>
      </c>
      <c r="C23">
        <v>94</v>
      </c>
      <c r="E23">
        <v>1.82</v>
      </c>
      <c r="F23" s="49">
        <v>145</v>
      </c>
      <c r="G23" s="42">
        <f>ROUNDUP((('BOQ Single Frame'!$D$7*1000/$B23)*(1+'BOQ Single Frame'!$D$9)),2)</f>
        <v>3.5</v>
      </c>
      <c r="H23" s="42">
        <f t="shared" si="0"/>
        <v>6.37</v>
      </c>
      <c r="I23" s="42">
        <f>(ROUNDUP((('BOQ Twin Frame'!$D$8*1000/$B23)*(1+'BOQ Twin Frame'!$D$12)),2)*2)+(ROUNDUP((('BOQ Twin Frame'!$D$8*1000/'BOQ Twin Frame'!$D$9)*('BOQ Twin Frame'!$D$7/1.2)*('BOQ Twin Frame'!$D$10/Data!$B23)*(1+'BOQ Twin Frame'!$D$12)),2))</f>
        <v>13.129999999999999</v>
      </c>
      <c r="J23" s="42">
        <f t="shared" si="1"/>
        <v>23.896599999999999</v>
      </c>
      <c r="N23" s="68" t="s">
        <v>155</v>
      </c>
    </row>
    <row r="24" spans="1:14">
      <c r="A24" t="s">
        <v>40</v>
      </c>
      <c r="B24">
        <v>3000</v>
      </c>
      <c r="C24">
        <v>51</v>
      </c>
      <c r="E24">
        <v>2.13</v>
      </c>
      <c r="F24" s="49">
        <v>355</v>
      </c>
      <c r="G24" s="42">
        <f>ROUNDUP((('BOQ Single Frame'!$D$7*1000/$B24)*(1+'BOQ Single Frame'!$D$9)),2)</f>
        <v>3.5</v>
      </c>
      <c r="H24" s="42">
        <f t="shared" si="0"/>
        <v>7.4550000000000001</v>
      </c>
      <c r="I24" s="42">
        <f>(ROUNDUP((('BOQ Twin Frame'!$D$8*1000/$B24)*(1+'BOQ Twin Frame'!$D$12)),2)*2)</f>
        <v>7</v>
      </c>
      <c r="J24" s="42">
        <f t="shared" si="1"/>
        <v>14.91</v>
      </c>
    </row>
    <row r="25" spans="1:14">
      <c r="A25" t="s">
        <v>41</v>
      </c>
      <c r="B25">
        <v>3000</v>
      </c>
      <c r="C25">
        <v>64</v>
      </c>
      <c r="E25">
        <v>2.3199999999999998</v>
      </c>
      <c r="F25" s="49">
        <v>360</v>
      </c>
      <c r="G25" s="42">
        <f>ROUNDUP((('BOQ Single Frame'!$D$7*1000/$B25)*(1+'BOQ Single Frame'!$D$9)),2)</f>
        <v>3.5</v>
      </c>
      <c r="H25" s="42">
        <f t="shared" si="0"/>
        <v>8.1199999999999992</v>
      </c>
      <c r="I25" s="42">
        <f>(ROUNDUP((('BOQ Twin Frame'!$D$8*1000/$B25)*(1+'BOQ Twin Frame'!$D$12)),2)*2)</f>
        <v>7</v>
      </c>
      <c r="J25" s="42">
        <f t="shared" si="1"/>
        <v>16.239999999999998</v>
      </c>
    </row>
    <row r="26" spans="1:14">
      <c r="A26" t="s">
        <v>42</v>
      </c>
      <c r="B26">
        <v>3000</v>
      </c>
      <c r="C26">
        <v>76</v>
      </c>
      <c r="E26">
        <v>2.4900000000000002</v>
      </c>
      <c r="F26" s="49">
        <v>385</v>
      </c>
      <c r="G26" s="42">
        <f>ROUNDUP((('BOQ Single Frame'!$D$7*1000/$B26)*(1+'BOQ Single Frame'!$D$9)),2)</f>
        <v>3.5</v>
      </c>
      <c r="H26" s="42">
        <f t="shared" si="0"/>
        <v>8.7149999999999999</v>
      </c>
      <c r="I26" s="42">
        <f>(ROUNDUP((('BOQ Twin Frame'!$D$8*1000/$B26)*(1+'BOQ Twin Frame'!$D$12)),2)*2)</f>
        <v>7</v>
      </c>
      <c r="J26" s="42">
        <f t="shared" si="1"/>
        <v>17.43</v>
      </c>
    </row>
    <row r="27" spans="1:14">
      <c r="A27" t="s">
        <v>43</v>
      </c>
      <c r="B27">
        <v>3000</v>
      </c>
      <c r="C27">
        <v>94</v>
      </c>
      <c r="E27">
        <v>2.74</v>
      </c>
      <c r="F27" s="49">
        <v>405</v>
      </c>
      <c r="G27" s="42">
        <f>ROUNDUP((('BOQ Single Frame'!$D$7*1000/$B27)*(1+'BOQ Single Frame'!$D$9)),2)</f>
        <v>3.5</v>
      </c>
      <c r="H27" s="42">
        <f t="shared" si="0"/>
        <v>9.59</v>
      </c>
      <c r="I27" s="42">
        <f>(ROUNDUP((('BOQ Twin Frame'!$D$8*1000/$B27)*(1+'BOQ Twin Frame'!$D$12)),2)*2)</f>
        <v>7</v>
      </c>
      <c r="J27" s="42">
        <f t="shared" si="1"/>
        <v>19.18</v>
      </c>
    </row>
    <row r="29" spans="1:14">
      <c r="A29" t="s">
        <v>211</v>
      </c>
      <c r="B29">
        <v>3000</v>
      </c>
      <c r="C29">
        <v>72</v>
      </c>
      <c r="K29" s="42">
        <f>ROUNDUP(((('BOQ ShaftWall'!$D$8*1000/$B29)*(1+'BOQ ShaftWall'!$D$11))+('BOQ ShaftWall'!$D$7*1000/Data!$B29)),2)</f>
        <v>4.5</v>
      </c>
    </row>
    <row r="31" spans="1:14">
      <c r="A31" t="s">
        <v>124</v>
      </c>
      <c r="B31">
        <v>2700</v>
      </c>
      <c r="C31">
        <v>65</v>
      </c>
      <c r="F31" s="49">
        <f>2.632*35*2</f>
        <v>184.24</v>
      </c>
      <c r="K31" s="42">
        <f>ROUNDUP(((('BOQ ShaftWall'!$D$8*1000/$B31)*(1+'BOQ ShaftWall'!$D$11))+('BOQ ShaftWall'!$D$7*1000/Data!$B31)),2)</f>
        <v>5</v>
      </c>
      <c r="L31" s="42">
        <f t="shared" ref="L31:L67" si="3">$K31*$E31</f>
        <v>0</v>
      </c>
    </row>
    <row r="32" spans="1:14">
      <c r="A32" t="s">
        <v>125</v>
      </c>
      <c r="B32">
        <v>2700</v>
      </c>
      <c r="C32">
        <v>78</v>
      </c>
      <c r="F32" s="49">
        <f>2.852*35*2</f>
        <v>199.64</v>
      </c>
      <c r="K32" s="42">
        <f>ROUNDUP(((('BOQ ShaftWall'!$D$8*1000/$B32)*(1+'BOQ ShaftWall'!$D$11))+('BOQ ShaftWall'!$D$7*1000/Data!$B32)),2)</f>
        <v>5</v>
      </c>
      <c r="L32" s="42">
        <f t="shared" si="3"/>
        <v>0</v>
      </c>
    </row>
    <row r="33" spans="1:14">
      <c r="A33" t="s">
        <v>126</v>
      </c>
      <c r="B33">
        <v>2700</v>
      </c>
      <c r="C33">
        <v>94</v>
      </c>
      <c r="F33" s="49">
        <f>3.12*35*2</f>
        <v>218.4</v>
      </c>
      <c r="K33" s="42">
        <f>ROUNDUP(((('BOQ ShaftWall'!$D$8*1000/$B33)*(1+'BOQ ShaftWall'!$D$11))+('BOQ ShaftWall'!$D$7*1000/Data!$B33)),2)</f>
        <v>5</v>
      </c>
      <c r="L33" s="42">
        <f t="shared" si="3"/>
        <v>0</v>
      </c>
    </row>
    <row r="34" spans="1:14">
      <c r="A34" t="s">
        <v>127</v>
      </c>
      <c r="B34">
        <v>2700</v>
      </c>
      <c r="C34">
        <v>102</v>
      </c>
      <c r="F34" s="49">
        <f>3.254*35*2</f>
        <v>227.78</v>
      </c>
      <c r="K34" s="42">
        <f>ROUNDUP(((('BOQ ShaftWall'!$D$8*1000/$B34)*(1+'BOQ ShaftWall'!$D$11))+('BOQ ShaftWall'!$D$7*1000/Data!$B34)),2)</f>
        <v>5</v>
      </c>
      <c r="L34" s="42">
        <f t="shared" si="3"/>
        <v>0</v>
      </c>
    </row>
    <row r="35" spans="1:14">
      <c r="A35" t="s">
        <v>128</v>
      </c>
      <c r="B35">
        <v>2700</v>
      </c>
      <c r="C35">
        <v>127</v>
      </c>
      <c r="F35" s="49">
        <f>3.671*35*2</f>
        <v>256.96999999999997</v>
      </c>
      <c r="K35" s="42">
        <f>ROUNDUP(((('BOQ ShaftWall'!$D$8*1000/$B35)*(1+'BOQ ShaftWall'!$D$11))+('BOQ ShaftWall'!$D$7*1000/Data!$B35)),2)</f>
        <v>5</v>
      </c>
      <c r="L35" s="42">
        <f t="shared" si="3"/>
        <v>0</v>
      </c>
    </row>
    <row r="36" spans="1:14">
      <c r="A36" t="s">
        <v>129</v>
      </c>
      <c r="B36">
        <v>2700</v>
      </c>
      <c r="C36">
        <v>153</v>
      </c>
      <c r="F36" s="49">
        <f>4.088*35*2</f>
        <v>286.16000000000003</v>
      </c>
      <c r="K36" s="42">
        <f>ROUNDUP(((('BOQ ShaftWall'!$D$8*1000/$B36)*(1+'BOQ ShaftWall'!$D$11))+('BOQ ShaftWall'!$D$7*1000/Data!$B36)),2)</f>
        <v>5</v>
      </c>
      <c r="L36" s="42">
        <f t="shared" si="3"/>
        <v>0</v>
      </c>
    </row>
    <row r="38" spans="1:14">
      <c r="A38" t="s">
        <v>45</v>
      </c>
      <c r="B38" t="s">
        <v>27</v>
      </c>
      <c r="C38" t="s">
        <v>28</v>
      </c>
      <c r="D38" t="s">
        <v>46</v>
      </c>
      <c r="E38" t="s">
        <v>132</v>
      </c>
      <c r="G38" s="42" t="s">
        <v>44</v>
      </c>
    </row>
    <row r="39" spans="1:14">
      <c r="A39" t="s">
        <v>47</v>
      </c>
      <c r="B39">
        <v>2400</v>
      </c>
      <c r="C39">
        <v>1200</v>
      </c>
      <c r="D39">
        <v>9</v>
      </c>
      <c r="E39">
        <v>16.04</v>
      </c>
      <c r="F39" s="49">
        <v>238</v>
      </c>
      <c r="G39" s="42">
        <f>ROUNDUP(((('BOQ Single Frame'!$D$6*'BOQ Single Frame'!$D$7*1000000)/($B39*$C39))*(1+'BOQ Single Frame'!$D$9)),2)*2</f>
        <v>20.419999999999998</v>
      </c>
      <c r="H39" s="79">
        <f t="shared" si="0"/>
        <v>327.53679999999997</v>
      </c>
      <c r="I39" s="42">
        <f>ROUNDUP(((('BOQ Twin Frame'!$D$7*'BOQ Twin Frame'!$D$8*1000000)/($B39*$C39))*(1+'BOQ Twin Frame'!$D$12)),2)*2</f>
        <v>51.06</v>
      </c>
      <c r="J39" s="79">
        <f t="shared" si="1"/>
        <v>819.00239999999997</v>
      </c>
      <c r="K39" s="42">
        <f>ROUNDUP(((('BOQ ShaftWall'!$D$7*'BOQ ShaftWall'!$D$8*1000000)/($B39*$C39))*(1+'BOQ ShaftWall'!$D$11)),2)</f>
        <v>10.94</v>
      </c>
      <c r="L39" s="79">
        <f t="shared" si="3"/>
        <v>175.4776</v>
      </c>
      <c r="N39" s="69" t="s">
        <v>156</v>
      </c>
    </row>
    <row r="40" spans="1:14">
      <c r="A40" t="s">
        <v>48</v>
      </c>
      <c r="B40">
        <v>2400</v>
      </c>
      <c r="C40">
        <v>1200</v>
      </c>
      <c r="D40">
        <v>12</v>
      </c>
      <c r="E40">
        <v>23.04</v>
      </c>
      <c r="F40" s="49">
        <v>268</v>
      </c>
      <c r="G40" s="42">
        <f>ROUNDUP(((('BOQ Single Frame'!$D$6*'BOQ Single Frame'!$D$7*1000000)/($B40*$C40))*(1+'BOQ Single Frame'!$D$9)),2)*2</f>
        <v>20.419999999999998</v>
      </c>
      <c r="H40" s="79">
        <f t="shared" si="0"/>
        <v>470.47679999999991</v>
      </c>
      <c r="I40" s="42">
        <f>ROUNDUP(((('BOQ Twin Frame'!$D$7*'BOQ Twin Frame'!$D$8*1000000)/($B40*$C40))*(1+'BOQ Twin Frame'!$D$12)),2)*2</f>
        <v>51.06</v>
      </c>
      <c r="J40" s="79">
        <f t="shared" si="1"/>
        <v>1176.4223999999999</v>
      </c>
      <c r="K40" s="42">
        <f>ROUNDUP(((('BOQ ShaftWall'!$D$7*'BOQ ShaftWall'!$D$8*1000000)/($B40*$C40))*(1+'BOQ ShaftWall'!$D$11)),2)</f>
        <v>10.94</v>
      </c>
      <c r="L40" s="79">
        <f t="shared" si="3"/>
        <v>252.05759999999998</v>
      </c>
      <c r="N40" s="69" t="s">
        <v>157</v>
      </c>
    </row>
    <row r="41" spans="1:14">
      <c r="A41" t="s">
        <v>102</v>
      </c>
      <c r="B41">
        <v>2400</v>
      </c>
      <c r="C41">
        <v>1200</v>
      </c>
      <c r="D41">
        <v>15</v>
      </c>
      <c r="E41">
        <v>32</v>
      </c>
      <c r="F41" s="49">
        <v>379</v>
      </c>
      <c r="G41" s="42">
        <f>ROUNDUP(((('BOQ Single Frame'!$D$6*'BOQ Single Frame'!$D$7*1000000)/($B41*$C41))*(1+'BOQ Single Frame'!$D$9)),2)*2</f>
        <v>20.419999999999998</v>
      </c>
      <c r="H41" s="42">
        <f t="shared" si="0"/>
        <v>653.43999999999994</v>
      </c>
      <c r="I41" s="42">
        <f>ROUNDUP(((('BOQ Twin Frame'!$D$7*'BOQ Twin Frame'!$D$8*1000000)/($B41*$C41))*(1+'BOQ Twin Frame'!$D$12)),2)*2</f>
        <v>51.06</v>
      </c>
      <c r="J41" s="42">
        <f t="shared" si="1"/>
        <v>1633.92</v>
      </c>
      <c r="K41" s="42">
        <f>ROUNDUP(((('BOQ ShaftWall'!$D$7*'BOQ ShaftWall'!$D$8*1000000)/($B41*$C41))*(1+'BOQ ShaftWall'!$D$11)),2)</f>
        <v>10.94</v>
      </c>
      <c r="L41" s="42">
        <f t="shared" si="3"/>
        <v>350.08</v>
      </c>
      <c r="N41" s="69" t="s">
        <v>158</v>
      </c>
    </row>
    <row r="43" spans="1:14">
      <c r="A43" t="s">
        <v>49</v>
      </c>
      <c r="B43">
        <v>2400</v>
      </c>
      <c r="C43">
        <v>1200</v>
      </c>
      <c r="D43">
        <v>13</v>
      </c>
      <c r="E43">
        <v>33.119999999999997</v>
      </c>
      <c r="F43" s="49">
        <v>495</v>
      </c>
      <c r="G43" s="42">
        <f>ROUNDUP(((('BOQ Single Frame'!$D$6*'BOQ Single Frame'!$D$7*1000000)/($B43*$C43))*(1+'BOQ Single Frame'!$D$9)),2)*2</f>
        <v>20.419999999999998</v>
      </c>
      <c r="H43" s="79">
        <f t="shared" si="0"/>
        <v>676.31039999999985</v>
      </c>
      <c r="I43" s="42">
        <f>ROUNDUP(((('BOQ Twin Frame'!$D$7*'BOQ Twin Frame'!$D$8*1000000)/($B43*$C43))*(1+'BOQ Twin Frame'!$D$12)),2)*2</f>
        <v>51.06</v>
      </c>
      <c r="J43" s="79">
        <f t="shared" si="1"/>
        <v>1691.1071999999999</v>
      </c>
      <c r="K43" s="42">
        <f>ROUNDUP(((('BOQ ShaftWall'!$D$7*'BOQ ShaftWall'!$D$8*1000000)/($B43*$C43))*(1+'BOQ ShaftWall'!$D$11)),2)</f>
        <v>10.94</v>
      </c>
      <c r="L43" s="79">
        <f t="shared" si="3"/>
        <v>362.33279999999996</v>
      </c>
      <c r="N43" s="69" t="s">
        <v>159</v>
      </c>
    </row>
    <row r="44" spans="1:14">
      <c r="A44" t="s">
        <v>204</v>
      </c>
      <c r="B44">
        <v>2400</v>
      </c>
      <c r="C44">
        <v>1200</v>
      </c>
      <c r="D44">
        <v>16</v>
      </c>
      <c r="E44">
        <f>14.5*2.88</f>
        <v>41.76</v>
      </c>
      <c r="F44" s="49">
        <v>532</v>
      </c>
      <c r="G44" s="42">
        <f>ROUNDUP(((('BOQ Single Frame'!$D$6*'BOQ Single Frame'!$D$7*1000000)/($B44*$C44))*(1+'BOQ Single Frame'!$D$9)),2)*2</f>
        <v>20.419999999999998</v>
      </c>
      <c r="H44" s="79">
        <f t="shared" si="0"/>
        <v>852.73919999999987</v>
      </c>
      <c r="I44" s="42">
        <f>ROUNDUP(((('BOQ Twin Frame'!$D$7*'BOQ Twin Frame'!$D$8*1000000)/($B44*$C44))*(1+'BOQ Twin Frame'!$D$12)),2)*2</f>
        <v>51.06</v>
      </c>
      <c r="J44" s="79">
        <f t="shared" si="1"/>
        <v>2132.2656000000002</v>
      </c>
      <c r="K44" s="42">
        <f>ROUNDUP(((('BOQ ShaftWall'!$D$7*'BOQ ShaftWall'!$D$8*1000000)/($B44*$C44))*(1+'BOQ ShaftWall'!$D$11)),2)</f>
        <v>10.94</v>
      </c>
      <c r="L44" s="79">
        <f t="shared" si="3"/>
        <v>456.85439999999994</v>
      </c>
      <c r="N44" s="81" t="s">
        <v>247</v>
      </c>
    </row>
    <row r="45" spans="1:14">
      <c r="A45" t="s">
        <v>216</v>
      </c>
      <c r="B45">
        <v>2400</v>
      </c>
      <c r="C45">
        <v>1200</v>
      </c>
      <c r="D45">
        <v>16</v>
      </c>
      <c r="E45">
        <f>14.5*2.88</f>
        <v>41.76</v>
      </c>
      <c r="F45" s="49">
        <v>605</v>
      </c>
      <c r="G45" s="42">
        <f>ROUNDUP(((('BOQ Single Frame'!$D$6*'BOQ Single Frame'!$D$7*1000000)/($B45*$C45))*(1+'BOQ Single Frame'!$D$9)),2)*2</f>
        <v>20.419999999999998</v>
      </c>
      <c r="H45" s="79">
        <f t="shared" si="0"/>
        <v>852.73919999999987</v>
      </c>
      <c r="I45" s="42">
        <f>ROUNDUP(((('BOQ Twin Frame'!$D$7*'BOQ Twin Frame'!$D$8*1000000)/($B45*$C45))*(1+'BOQ Twin Frame'!$D$12)),2)*2</f>
        <v>51.06</v>
      </c>
      <c r="J45" s="79">
        <f t="shared" si="1"/>
        <v>2132.2656000000002</v>
      </c>
      <c r="K45" s="42">
        <f>ROUNDUP(((('BOQ ShaftWall'!$D$7*'BOQ ShaftWall'!$D$8*1000000)/($B45*$C45))*(1+'BOQ ShaftWall'!$D$11)),2)</f>
        <v>10.94</v>
      </c>
      <c r="L45" s="79">
        <f t="shared" si="3"/>
        <v>456.85439999999994</v>
      </c>
      <c r="N45" s="81" t="s">
        <v>217</v>
      </c>
    </row>
    <row r="47" spans="1:14">
      <c r="A47" t="s">
        <v>50</v>
      </c>
      <c r="B47">
        <v>2400</v>
      </c>
      <c r="C47">
        <v>1200</v>
      </c>
      <c r="D47">
        <v>12.5</v>
      </c>
      <c r="E47">
        <v>34.6</v>
      </c>
      <c r="F47" s="49">
        <v>804</v>
      </c>
      <c r="G47" s="42">
        <f>ROUNDUP(((('BOQ Single Frame'!$D$6*'BOQ Single Frame'!$D$7*1000000)/($B47*$C47))*(1+'BOQ Single Frame'!$D$9)),2)*2</f>
        <v>20.419999999999998</v>
      </c>
      <c r="H47" s="79">
        <f t="shared" si="0"/>
        <v>706.53199999999993</v>
      </c>
      <c r="I47" s="42">
        <f>ROUNDUP(((('BOQ Twin Frame'!$D$7*'BOQ Twin Frame'!$D$8*1000000)/($B47*$C47))*(1+'BOQ Twin Frame'!$D$12)),2)*2</f>
        <v>51.06</v>
      </c>
      <c r="J47" s="79">
        <f t="shared" si="1"/>
        <v>1766.6760000000002</v>
      </c>
      <c r="K47" s="42">
        <f>ROUNDUP(((('BOQ ShaftWall'!$D$7*'BOQ ShaftWall'!$D$8*1000000)/($B47*$C47))*(1+'BOQ ShaftWall'!$D$11)),2)</f>
        <v>10.94</v>
      </c>
      <c r="L47" s="42">
        <f t="shared" si="3"/>
        <v>378.524</v>
      </c>
      <c r="N47" s="69" t="s">
        <v>160</v>
      </c>
    </row>
    <row r="49" spans="1:14">
      <c r="A49" t="s">
        <v>108</v>
      </c>
      <c r="B49">
        <v>2400</v>
      </c>
      <c r="C49">
        <v>1200</v>
      </c>
      <c r="D49">
        <v>9</v>
      </c>
      <c r="E49">
        <v>19</v>
      </c>
      <c r="F49" s="49">
        <v>550</v>
      </c>
      <c r="G49" s="42">
        <f>ROUNDUP(((('BOQ Single Frame'!$D$6*'BOQ Single Frame'!$D$7*1000000)/($B49*$C49))*(1+'BOQ Single Frame'!$D$9)),2)*2</f>
        <v>20.419999999999998</v>
      </c>
      <c r="H49" s="42">
        <f t="shared" si="0"/>
        <v>387.97999999999996</v>
      </c>
      <c r="I49" s="42">
        <f>ROUNDUP(((('BOQ Twin Frame'!$D$7*'BOQ Twin Frame'!$D$8*1000000)/($B49*$C49))*(1+'BOQ Twin Frame'!$D$12)),2)*2</f>
        <v>51.06</v>
      </c>
      <c r="J49" s="42">
        <f t="shared" si="1"/>
        <v>970.1400000000001</v>
      </c>
      <c r="K49" s="42">
        <f>ROUNDUP(((('BOQ ShaftWall'!$D$7*'BOQ ShaftWall'!$D$8*1000000)/($B49*$C49))*(1+'BOQ ShaftWall'!$D$11)),2)</f>
        <v>10.94</v>
      </c>
      <c r="L49" s="42">
        <f t="shared" si="3"/>
        <v>207.85999999999999</v>
      </c>
      <c r="N49" s="69" t="s">
        <v>161</v>
      </c>
    </row>
    <row r="50" spans="1:14">
      <c r="A50" t="s">
        <v>163</v>
      </c>
      <c r="B50">
        <v>2440</v>
      </c>
      <c r="C50">
        <v>1220</v>
      </c>
      <c r="D50">
        <v>12</v>
      </c>
      <c r="E50">
        <v>24.53</v>
      </c>
      <c r="F50" s="55">
        <v>680</v>
      </c>
      <c r="G50" s="42">
        <f>ROUNDUP(((('BOQ Single Frame'!$D$6*'BOQ Single Frame'!$D$7*1000000)/($B50*$C50))*(1+'BOQ Single Frame'!$D$9)),2)*2</f>
        <v>19.759999999999998</v>
      </c>
      <c r="H50" s="79">
        <f t="shared" si="0"/>
        <v>484.71279999999996</v>
      </c>
      <c r="I50" s="42">
        <f>ROUNDUP(((('BOQ Twin Frame'!$D$7*'BOQ Twin Frame'!$D$8*1000000)/($B50*$C50))*(1+'BOQ Twin Frame'!$D$12)),2)*2</f>
        <v>49.400000000000006</v>
      </c>
      <c r="J50" s="79">
        <f t="shared" si="1"/>
        <v>1211.7820000000002</v>
      </c>
      <c r="K50" s="42">
        <f>ROUNDUP(((('BOQ ShaftWall'!$D$7*'BOQ ShaftWall'!$D$8*1000000)/($B50*$C50))*(1+'BOQ ShaftWall'!$D$11)),2)</f>
        <v>10.59</v>
      </c>
      <c r="L50" s="79">
        <f t="shared" si="3"/>
        <v>259.77269999999999</v>
      </c>
      <c r="N50" s="69" t="s">
        <v>162</v>
      </c>
    </row>
    <row r="51" spans="1:14">
      <c r="L51" s="79"/>
    </row>
    <row r="52" spans="1:14">
      <c r="A52" t="s">
        <v>54</v>
      </c>
      <c r="B52">
        <v>2400</v>
      </c>
      <c r="C52">
        <v>1200</v>
      </c>
      <c r="D52">
        <v>12.5</v>
      </c>
      <c r="E52">
        <v>30.24</v>
      </c>
      <c r="F52" s="49">
        <v>795</v>
      </c>
      <c r="G52" s="42">
        <f>ROUNDUP(((('BOQ Single Frame'!$D$6*'BOQ Single Frame'!$D$7*1000000)/($B52*$C52))*(1+'BOQ Single Frame'!$D$9)),2)*2</f>
        <v>20.419999999999998</v>
      </c>
      <c r="H52" s="79">
        <f t="shared" si="0"/>
        <v>617.50079999999991</v>
      </c>
      <c r="I52" s="42">
        <f>ROUNDUP(((('BOQ Twin Frame'!$D$7*'BOQ Twin Frame'!$D$8*1000000)/($B52*$C52))*(1+'BOQ Twin Frame'!$D$12)),2)*2</f>
        <v>51.06</v>
      </c>
      <c r="J52" s="79">
        <f t="shared" si="1"/>
        <v>1544.0544</v>
      </c>
      <c r="K52" s="42">
        <f>ROUNDUP(((('BOQ ShaftWall'!$D$7*'BOQ ShaftWall'!$D$8*1000000)/($B52*$C52))*(1+'BOQ ShaftWall'!$D$11)),2)</f>
        <v>10.94</v>
      </c>
      <c r="L52" s="79">
        <f t="shared" si="3"/>
        <v>330.82559999999995</v>
      </c>
      <c r="N52" s="69" t="s">
        <v>164</v>
      </c>
    </row>
    <row r="53" spans="1:14">
      <c r="H53" s="79"/>
      <c r="J53" s="79"/>
      <c r="L53" s="79"/>
    </row>
    <row r="54" spans="1:14">
      <c r="A54" t="s">
        <v>51</v>
      </c>
      <c r="B54">
        <v>2400</v>
      </c>
      <c r="C54">
        <v>1200</v>
      </c>
      <c r="D54">
        <v>9</v>
      </c>
      <c r="E54">
        <v>19.87</v>
      </c>
      <c r="F54" s="49">
        <v>352</v>
      </c>
      <c r="G54" s="42">
        <f>ROUNDUP(((('BOQ Single Frame'!$D$6*'BOQ Single Frame'!$D$7*1000000)/($B54*$C54))*(1+'BOQ Single Frame'!$D$9)),2)*2</f>
        <v>20.419999999999998</v>
      </c>
      <c r="H54" s="79">
        <f t="shared" si="0"/>
        <v>405.74539999999996</v>
      </c>
      <c r="I54" s="42">
        <f>ROUNDUP(((('BOQ Twin Frame'!$D$7*'BOQ Twin Frame'!$D$8*1000000)/($B54*$C54))*(1+'BOQ Twin Frame'!$D$12)),2)*2</f>
        <v>51.06</v>
      </c>
      <c r="J54" s="79">
        <f t="shared" si="1"/>
        <v>1014.5622000000001</v>
      </c>
      <c r="K54" s="42">
        <f>ROUNDUP(((('BOQ ShaftWall'!$D$7*'BOQ ShaftWall'!$D$8*1000000)/($B54*$C54))*(1+'BOQ ShaftWall'!$D$11)),2)</f>
        <v>10.94</v>
      </c>
      <c r="L54" s="79">
        <f t="shared" si="3"/>
        <v>217.37780000000001</v>
      </c>
      <c r="N54" s="69" t="s">
        <v>165</v>
      </c>
    </row>
    <row r="55" spans="1:14">
      <c r="A55" t="s">
        <v>52</v>
      </c>
      <c r="B55">
        <v>2400</v>
      </c>
      <c r="C55">
        <v>1200</v>
      </c>
      <c r="D55">
        <v>12</v>
      </c>
      <c r="E55">
        <v>25.52</v>
      </c>
      <c r="F55" s="49">
        <v>395</v>
      </c>
      <c r="G55" s="42">
        <f>ROUNDUP(((('BOQ Single Frame'!$D$6*'BOQ Single Frame'!$D$7*1000000)/($B55*$C55))*(1+'BOQ Single Frame'!$D$9)),2)*2</f>
        <v>20.419999999999998</v>
      </c>
      <c r="H55" s="79">
        <f t="shared" si="0"/>
        <v>521.11839999999995</v>
      </c>
      <c r="I55" s="42">
        <f>ROUNDUP(((('BOQ Twin Frame'!$D$7*'BOQ Twin Frame'!$D$8*1000000)/($B55*$C55))*(1+'BOQ Twin Frame'!$D$12)),2)*2</f>
        <v>51.06</v>
      </c>
      <c r="J55" s="79">
        <f t="shared" si="1"/>
        <v>1303.0512000000001</v>
      </c>
      <c r="K55" s="42">
        <f>ROUNDUP(((('BOQ ShaftWall'!$D$7*'BOQ ShaftWall'!$D$8*1000000)/($B55*$C55))*(1+'BOQ ShaftWall'!$D$11)),2)</f>
        <v>10.94</v>
      </c>
      <c r="L55" s="79">
        <f t="shared" si="3"/>
        <v>279.18879999999996</v>
      </c>
      <c r="N55" s="69" t="s">
        <v>166</v>
      </c>
    </row>
    <row r="57" spans="1:14">
      <c r="A57" t="s">
        <v>101</v>
      </c>
      <c r="B57">
        <v>2400</v>
      </c>
      <c r="C57">
        <v>1200</v>
      </c>
      <c r="D57">
        <v>13</v>
      </c>
      <c r="E57">
        <v>29.25</v>
      </c>
      <c r="F57" s="49">
        <v>446</v>
      </c>
      <c r="G57" s="42">
        <f>ROUNDUP(((('BOQ Single Frame'!$D$6*'BOQ Single Frame'!$D$7*1000000)/($B57*$C57))*(1+'BOQ Single Frame'!$D$9)),2)*2</f>
        <v>20.419999999999998</v>
      </c>
      <c r="H57" s="42">
        <f t="shared" si="0"/>
        <v>597.28499999999997</v>
      </c>
      <c r="I57" s="42">
        <f>ROUNDUP(((('BOQ Twin Frame'!$D$7*'BOQ Twin Frame'!$D$8*1000000)/($B57*$C57))*(1+'BOQ Twin Frame'!$D$12)),2)*2</f>
        <v>51.06</v>
      </c>
      <c r="J57" s="79">
        <f t="shared" si="1"/>
        <v>1493.5050000000001</v>
      </c>
      <c r="K57" s="42">
        <f>ROUNDUP(((('BOQ ShaftWall'!$D$7*'BOQ ShaftWall'!$D$8*1000000)/($B57*$C57))*(1+'BOQ ShaftWall'!$D$11)),2)</f>
        <v>10.94</v>
      </c>
      <c r="L57" s="79">
        <f t="shared" si="3"/>
        <v>319.995</v>
      </c>
      <c r="N57" s="69" t="s">
        <v>167</v>
      </c>
    </row>
    <row r="58" spans="1:14">
      <c r="A58" t="s">
        <v>53</v>
      </c>
      <c r="B58">
        <v>2400</v>
      </c>
      <c r="C58">
        <v>1200</v>
      </c>
      <c r="D58">
        <v>16</v>
      </c>
      <c r="E58">
        <v>36.92</v>
      </c>
      <c r="F58" s="49">
        <v>500</v>
      </c>
      <c r="G58" s="42">
        <f>ROUNDUP(((('BOQ Single Frame'!$D$6*'BOQ Single Frame'!$D$7*1000000)/($B58*$C58))*(1+'BOQ Single Frame'!$D$9)),2)*2</f>
        <v>20.419999999999998</v>
      </c>
      <c r="H58" s="79">
        <f t="shared" si="0"/>
        <v>753.90639999999996</v>
      </c>
      <c r="I58" s="42">
        <f>ROUNDUP(((('BOQ Twin Frame'!$D$7*'BOQ Twin Frame'!$D$8*1000000)/($B58*$C58))*(1+'BOQ Twin Frame'!$D$12)),2)*2</f>
        <v>51.06</v>
      </c>
      <c r="J58" s="79">
        <f t="shared" si="1"/>
        <v>1885.1352000000002</v>
      </c>
      <c r="K58" s="42">
        <f>ROUNDUP(((('BOQ ShaftWall'!$D$7*'BOQ ShaftWall'!$D$8*1000000)/($B58*$C58))*(1+'BOQ ShaftWall'!$D$11)),2)</f>
        <v>10.94</v>
      </c>
      <c r="L58" s="79">
        <f t="shared" si="3"/>
        <v>403.90480000000002</v>
      </c>
      <c r="N58" s="69" t="s">
        <v>168</v>
      </c>
    </row>
    <row r="60" spans="1:14">
      <c r="A60" t="s">
        <v>103</v>
      </c>
      <c r="B60">
        <v>2400</v>
      </c>
      <c r="C60">
        <v>1200</v>
      </c>
      <c r="D60">
        <v>59</v>
      </c>
      <c r="E60">
        <v>22.2</v>
      </c>
      <c r="F60" s="49">
        <v>1990</v>
      </c>
      <c r="G60" s="42">
        <f>ROUNDUP(((('BOQ Single Frame'!$D$6*'BOQ Single Frame'!$D$7*1000000)/($B60*$C60))*(1+'BOQ Single Frame'!$D$9)),2)*2</f>
        <v>20.419999999999998</v>
      </c>
      <c r="H60" s="79">
        <f t="shared" si="0"/>
        <v>453.32399999999996</v>
      </c>
      <c r="I60" s="79">
        <f>ROUNDUP(((('BOQ Twin Frame'!$D$7*'BOQ Twin Frame'!$D$8*1000000)/($B60*$C60))*(1+'BOQ Twin Frame'!$D$12)),2)*2</f>
        <v>51.06</v>
      </c>
      <c r="J60" s="79">
        <f t="shared" si="1"/>
        <v>1133.5319999999999</v>
      </c>
      <c r="K60" s="79">
        <f>ROUNDUP(((('BOQ ShaftWall'!$D$7*'BOQ ShaftWall'!$D$8*1000000)/($B60*$C60))*(1+'BOQ ShaftWall'!$D$11)),2)</f>
        <v>10.94</v>
      </c>
      <c r="L60" s="79">
        <f t="shared" si="3"/>
        <v>242.86799999999999</v>
      </c>
      <c r="N60" s="69" t="s">
        <v>169</v>
      </c>
    </row>
    <row r="61" spans="1:14">
      <c r="A61" t="s">
        <v>104</v>
      </c>
      <c r="B61">
        <v>2400</v>
      </c>
      <c r="C61">
        <v>1200</v>
      </c>
      <c r="D61">
        <v>44</v>
      </c>
      <c r="E61">
        <v>21.5</v>
      </c>
      <c r="F61" s="49">
        <v>1490</v>
      </c>
      <c r="G61" s="42">
        <f>ROUNDUP(((('BOQ Single Frame'!$D$6*'BOQ Single Frame'!$D$7*1000000)/($B61*$C61))*(1+'BOQ Single Frame'!$D$9)),2)*2</f>
        <v>20.419999999999998</v>
      </c>
      <c r="H61" s="79">
        <f t="shared" si="0"/>
        <v>439.03</v>
      </c>
      <c r="I61" s="79">
        <f>ROUNDUP(((('BOQ Twin Frame'!$D$7*'BOQ Twin Frame'!$D$8*1000000)/($B61*$C61))*(1+'BOQ Twin Frame'!$D$12)),2)*2</f>
        <v>51.06</v>
      </c>
      <c r="J61" s="79">
        <f t="shared" si="1"/>
        <v>1097.79</v>
      </c>
      <c r="K61" s="79">
        <f>ROUNDUP(((('BOQ ShaftWall'!$D$7*'BOQ ShaftWall'!$D$8*1000000)/($B61*$C61))*(1+'BOQ ShaftWall'!$D$11)),2)</f>
        <v>10.94</v>
      </c>
      <c r="L61" s="79">
        <f t="shared" si="3"/>
        <v>235.20999999999998</v>
      </c>
      <c r="N61" s="69" t="s">
        <v>170</v>
      </c>
    </row>
    <row r="62" spans="1:14">
      <c r="A62" t="s">
        <v>105</v>
      </c>
      <c r="B62">
        <v>2400</v>
      </c>
      <c r="C62">
        <v>1200</v>
      </c>
      <c r="D62">
        <v>29</v>
      </c>
      <c r="E62">
        <v>20.9</v>
      </c>
      <c r="F62" s="49">
        <v>1050</v>
      </c>
      <c r="G62" s="42">
        <f>ROUNDUP(((('BOQ Single Frame'!$D$6*'BOQ Single Frame'!$D$7*1000000)/($B62*$C62))*(1+'BOQ Single Frame'!$D$9)),2)*2</f>
        <v>20.419999999999998</v>
      </c>
      <c r="H62" s="79">
        <f t="shared" si="0"/>
        <v>426.77799999999991</v>
      </c>
      <c r="I62" s="79">
        <f>ROUNDUP(((('BOQ Twin Frame'!$D$7*'BOQ Twin Frame'!$D$8*1000000)/($B62*$C62))*(1+'BOQ Twin Frame'!$D$12)),2)*2</f>
        <v>51.06</v>
      </c>
      <c r="J62" s="79">
        <f t="shared" si="1"/>
        <v>1067.154</v>
      </c>
      <c r="K62" s="79">
        <f>ROUNDUP(((('BOQ ShaftWall'!$D$7*'BOQ ShaftWall'!$D$8*1000000)/($B62*$C62))*(1+'BOQ ShaftWall'!$D$11)),2)</f>
        <v>10.94</v>
      </c>
      <c r="L62" s="79">
        <f t="shared" si="3"/>
        <v>228.64599999999999</v>
      </c>
      <c r="N62" s="69" t="s">
        <v>171</v>
      </c>
    </row>
    <row r="63" spans="1:14">
      <c r="H63" s="79">
        <f t="shared" si="0"/>
        <v>0</v>
      </c>
      <c r="I63" s="79"/>
      <c r="J63" s="79"/>
      <c r="K63" s="79"/>
      <c r="L63" s="79"/>
    </row>
    <row r="64" spans="1:14">
      <c r="A64" t="s">
        <v>106</v>
      </c>
      <c r="B64">
        <v>2400</v>
      </c>
      <c r="C64">
        <v>1200</v>
      </c>
      <c r="D64">
        <v>59</v>
      </c>
      <c r="E64">
        <v>23.78</v>
      </c>
      <c r="F64" s="49">
        <v>2290</v>
      </c>
      <c r="G64" s="42">
        <f>ROUNDUP(((('BOQ Single Frame'!$D$6*'BOQ Single Frame'!$D$7*1000000)/($B64*$C64))*(1+'BOQ Single Frame'!$D$9)),2)*2</f>
        <v>20.419999999999998</v>
      </c>
      <c r="H64" s="79">
        <f t="shared" si="0"/>
        <v>485.58759999999995</v>
      </c>
      <c r="I64" s="79">
        <f>ROUNDUP(((('BOQ Twin Frame'!$D$7*'BOQ Twin Frame'!$D$8*1000000)/($B64*$C64))*(1+'BOQ Twin Frame'!$D$12)),2)*2</f>
        <v>51.06</v>
      </c>
      <c r="J64" s="79">
        <f t="shared" si="1"/>
        <v>1214.2068000000002</v>
      </c>
      <c r="K64" s="79">
        <f>ROUNDUP(((('BOQ ShaftWall'!$D$7*'BOQ ShaftWall'!$D$8*1000000)/($B64*$C64))*(1+'BOQ ShaftWall'!$D$11)),2)</f>
        <v>10.94</v>
      </c>
      <c r="L64" s="79">
        <f t="shared" si="3"/>
        <v>260.15320000000003</v>
      </c>
      <c r="N64" s="69" t="s">
        <v>172</v>
      </c>
    </row>
    <row r="65" spans="1:14">
      <c r="A65" t="s">
        <v>107</v>
      </c>
      <c r="B65">
        <v>2400</v>
      </c>
      <c r="C65">
        <v>1200</v>
      </c>
      <c r="D65">
        <v>29</v>
      </c>
      <c r="E65">
        <v>22.48</v>
      </c>
      <c r="F65" s="49">
        <v>1210</v>
      </c>
      <c r="G65" s="42">
        <f>ROUNDUP(((('BOQ Single Frame'!$D$6*'BOQ Single Frame'!$D$7*1000000)/($B65*$C65))*(1+'BOQ Single Frame'!$D$9)),2)*2</f>
        <v>20.419999999999998</v>
      </c>
      <c r="H65" s="79">
        <f t="shared" ref="H65:H131" si="4">$G65*$E65</f>
        <v>459.04159999999996</v>
      </c>
      <c r="I65" s="79">
        <f>ROUNDUP(((('BOQ Twin Frame'!$D$7*'BOQ Twin Frame'!$D$8*1000000)/($B65*$C65))*(1+'BOQ Twin Frame'!$D$12)),2)*2</f>
        <v>51.06</v>
      </c>
      <c r="J65" s="79">
        <f t="shared" ref="J65:J131" si="5">$I65*$E65</f>
        <v>1147.8288</v>
      </c>
      <c r="K65" s="79">
        <f>ROUNDUP(((('BOQ ShaftWall'!$D$7*'BOQ ShaftWall'!$D$8*1000000)/($B65*$C65))*(1+'BOQ ShaftWall'!$D$11)),2)</f>
        <v>10.94</v>
      </c>
      <c r="L65" s="79">
        <f t="shared" si="3"/>
        <v>245.93119999999999</v>
      </c>
      <c r="N65" s="69" t="s">
        <v>173</v>
      </c>
    </row>
    <row r="66" spans="1:14">
      <c r="H66" s="79">
        <f t="shared" si="4"/>
        <v>0</v>
      </c>
      <c r="I66" s="79"/>
      <c r="J66" s="79"/>
      <c r="K66" s="79"/>
      <c r="L66" s="79"/>
    </row>
    <row r="67" spans="1:14">
      <c r="A67" t="s">
        <v>55</v>
      </c>
      <c r="B67">
        <v>2400</v>
      </c>
      <c r="C67">
        <v>600</v>
      </c>
      <c r="D67">
        <v>25.4</v>
      </c>
      <c r="F67" s="49">
        <v>620</v>
      </c>
      <c r="G67" s="42">
        <f>ROUNDUP(((('BOQ Single Frame'!$D$6*'BOQ Single Frame'!$D$7*1000000)/($B67*$C67))*(1+'BOQ Single Frame'!$D$9)),2)*2</f>
        <v>40.840000000000003</v>
      </c>
      <c r="H67" s="42">
        <f t="shared" si="4"/>
        <v>0</v>
      </c>
      <c r="I67" s="42">
        <f>ROUNDUP(((('BOQ Twin Frame'!$D$7*'BOQ Twin Frame'!$D$8*1000000)/($B67*$C67))*(1+'BOQ Twin Frame'!$D$12)),2)*2</f>
        <v>102.1</v>
      </c>
      <c r="J67" s="42">
        <f t="shared" si="5"/>
        <v>0</v>
      </c>
      <c r="K67" s="42">
        <f>ROUNDUP(((('BOQ ShaftWall'!$D$7*'BOQ ShaftWall'!$D$8*1000000)/($B67*$C67))*(1+'BOQ ShaftWall'!$D$11)),2)</f>
        <v>21.880000000000003</v>
      </c>
      <c r="L67" s="42">
        <f t="shared" si="3"/>
        <v>0</v>
      </c>
    </row>
    <row r="70" spans="1:14">
      <c r="A70" t="s">
        <v>56</v>
      </c>
      <c r="B70" t="s">
        <v>27</v>
      </c>
      <c r="C70" t="s">
        <v>28</v>
      </c>
      <c r="D70" t="s">
        <v>46</v>
      </c>
      <c r="E70" t="s">
        <v>132</v>
      </c>
      <c r="G70" s="42" t="s">
        <v>44</v>
      </c>
    </row>
    <row r="71" spans="1:14">
      <c r="A71" t="s">
        <v>66</v>
      </c>
      <c r="B71">
        <v>2400</v>
      </c>
      <c r="C71">
        <v>51</v>
      </c>
      <c r="D71">
        <v>25.4</v>
      </c>
      <c r="F71" s="49">
        <v>220</v>
      </c>
      <c r="G71" s="42">
        <f>ROUNDUP((('BOQ Single Frame'!$D$7*1000/$B71)*(1+'BOQ Single Frame'!$D$9)),2)</f>
        <v>4.38</v>
      </c>
      <c r="H71" s="42">
        <f t="shared" si="4"/>
        <v>0</v>
      </c>
      <c r="I71" s="42">
        <f>(ROUNDUP((('BOQ Twin Frame'!$D$8*1000/$B71)*(1+'BOQ Twin Frame'!$D$12)),2)*2)</f>
        <v>8.76</v>
      </c>
      <c r="J71" s="42">
        <f t="shared" si="5"/>
        <v>0</v>
      </c>
      <c r="K71" s="42">
        <f>(ROUNDUP((('BOQ ShaftWall'!$D$8*1000/$B71)*(1+'BOQ ShaftWall'!$D$11)),2))</f>
        <v>4.38</v>
      </c>
      <c r="L71" s="42">
        <f t="shared" ref="L71:L131" si="6">$K71*$E71</f>
        <v>0</v>
      </c>
    </row>
    <row r="72" spans="1:14">
      <c r="A72" t="s">
        <v>67</v>
      </c>
      <c r="B72">
        <v>2400</v>
      </c>
      <c r="C72">
        <v>64</v>
      </c>
      <c r="D72">
        <v>25.4</v>
      </c>
      <c r="F72" s="49">
        <v>245</v>
      </c>
      <c r="G72" s="42">
        <f>ROUNDUP((('BOQ Single Frame'!$D$7*1000/$B72)*(1+'BOQ Single Frame'!$D$9)),2)</f>
        <v>4.38</v>
      </c>
      <c r="H72" s="42">
        <f t="shared" si="4"/>
        <v>0</v>
      </c>
      <c r="I72" s="42">
        <f>(ROUNDUP((('BOQ Twin Frame'!$D$8*1000/$B72)*(1+'BOQ Twin Frame'!$D$12)),2)*2)</f>
        <v>8.76</v>
      </c>
      <c r="J72" s="42">
        <f t="shared" si="5"/>
        <v>0</v>
      </c>
      <c r="K72" s="42">
        <f>(ROUNDUP((('BOQ ShaftWall'!$D$8*1000/$B72)*(1+'BOQ ShaftWall'!$D$11)),2))</f>
        <v>4.38</v>
      </c>
      <c r="L72" s="42">
        <f t="shared" si="6"/>
        <v>0</v>
      </c>
    </row>
    <row r="73" spans="1:14">
      <c r="A73" t="s">
        <v>68</v>
      </c>
      <c r="B73">
        <v>2400</v>
      </c>
      <c r="C73">
        <v>76</v>
      </c>
      <c r="D73">
        <v>25.4</v>
      </c>
      <c r="F73" s="49">
        <v>280</v>
      </c>
      <c r="G73" s="42">
        <f>ROUNDUP((('BOQ Single Frame'!$D$7*1000/$B73)*(1+'BOQ Single Frame'!$D$9)),2)</f>
        <v>4.38</v>
      </c>
      <c r="H73" s="42">
        <f t="shared" si="4"/>
        <v>0</v>
      </c>
      <c r="I73" s="42">
        <f>(ROUNDUP((('BOQ Twin Frame'!$D$8*1000/$B73)*(1+'BOQ Twin Frame'!$D$12)),2)*2)</f>
        <v>8.76</v>
      </c>
      <c r="J73" s="42">
        <f t="shared" si="5"/>
        <v>0</v>
      </c>
      <c r="K73" s="42">
        <f>(ROUNDUP((('BOQ ShaftWall'!$D$8*1000/$B73)*(1+'BOQ ShaftWall'!$D$11)),2))</f>
        <v>4.38</v>
      </c>
      <c r="L73" s="42">
        <f t="shared" si="6"/>
        <v>0</v>
      </c>
    </row>
    <row r="74" spans="1:14">
      <c r="A74" t="s">
        <v>69</v>
      </c>
      <c r="B74">
        <v>2400</v>
      </c>
      <c r="C74">
        <v>94</v>
      </c>
      <c r="D74">
        <v>25.4</v>
      </c>
      <c r="F74" s="49">
        <v>300</v>
      </c>
      <c r="G74" s="42">
        <f>ROUNDUP((('BOQ Single Frame'!$D$7*1000/$B74)*(1+'BOQ Single Frame'!$D$9)),2)</f>
        <v>4.38</v>
      </c>
      <c r="H74" s="42">
        <f t="shared" si="4"/>
        <v>0</v>
      </c>
      <c r="I74" s="42">
        <f>(ROUNDUP((('BOQ Twin Frame'!$D$8*1000/$B74)*(1+'BOQ Twin Frame'!$D$12)),2)*2)</f>
        <v>8.76</v>
      </c>
      <c r="J74" s="42">
        <f t="shared" si="5"/>
        <v>0</v>
      </c>
      <c r="K74" s="42">
        <f>(ROUNDUP((('BOQ ShaftWall'!$D$8*1000/$B74)*(1+'BOQ ShaftWall'!$D$11)),2))</f>
        <v>4.38</v>
      </c>
      <c r="L74" s="42">
        <f t="shared" si="6"/>
        <v>0</v>
      </c>
    </row>
    <row r="77" spans="1:14">
      <c r="A77" t="s">
        <v>70</v>
      </c>
      <c r="B77" t="s">
        <v>27</v>
      </c>
      <c r="C77" t="s">
        <v>28</v>
      </c>
      <c r="D77" t="s">
        <v>46</v>
      </c>
      <c r="E77" t="s">
        <v>132</v>
      </c>
      <c r="G77" s="42" t="s">
        <v>44</v>
      </c>
    </row>
    <row r="78" spans="1:14">
      <c r="A78" t="s">
        <v>71</v>
      </c>
      <c r="B78">
        <v>2400</v>
      </c>
      <c r="C78">
        <v>70</v>
      </c>
      <c r="D78">
        <v>0.5</v>
      </c>
      <c r="E78">
        <v>0.65</v>
      </c>
      <c r="F78" s="49">
        <v>110</v>
      </c>
      <c r="G78" s="42">
        <f>(ROUNDUP((('BOQ Single Frame'!$D$7*1000/$B78)*(1+'BOQ Single Frame'!$D$9)),2)*2)</f>
        <v>8.76</v>
      </c>
      <c r="H78" s="42">
        <f t="shared" si="4"/>
        <v>5.694</v>
      </c>
      <c r="I78" s="42">
        <f>(ROUNDUP((('BOQ Twin Frame'!$D$8*1000/$B78)*(1+'BOQ Twin Frame'!$D$12)),2)*2)</f>
        <v>8.76</v>
      </c>
      <c r="J78" s="42">
        <f t="shared" si="5"/>
        <v>5.694</v>
      </c>
      <c r="L78" s="42">
        <f t="shared" si="6"/>
        <v>0</v>
      </c>
      <c r="N78" s="69" t="s">
        <v>174</v>
      </c>
    </row>
    <row r="81" spans="1:14">
      <c r="A81" t="s">
        <v>72</v>
      </c>
      <c r="B81" t="s">
        <v>27</v>
      </c>
      <c r="C81" t="s">
        <v>28</v>
      </c>
      <c r="D81" t="s">
        <v>46</v>
      </c>
      <c r="E81" t="s">
        <v>132</v>
      </c>
      <c r="G81" s="42" t="s">
        <v>44</v>
      </c>
    </row>
    <row r="82" spans="1:14">
      <c r="A82" t="s">
        <v>71</v>
      </c>
      <c r="B82">
        <v>2400</v>
      </c>
      <c r="C82">
        <v>70</v>
      </c>
      <c r="D82">
        <v>0.5</v>
      </c>
      <c r="E82">
        <v>0.65</v>
      </c>
      <c r="F82" s="49">
        <v>110</v>
      </c>
      <c r="G82" s="42">
        <f>(ROUNDUP(((ROUNDUP(ABS(('BOQ Single Frame'!$D$6*1000/2400)-1),2))*('BOQ Single Frame'!$D$7*1000/Data!$B82))*(1+'BOQ Single Frame'!$D$9),2))*2</f>
        <v>1.5</v>
      </c>
      <c r="H82" s="42">
        <f t="shared" si="4"/>
        <v>0.97500000000000009</v>
      </c>
      <c r="I82" s="42">
        <f>(ROUNDUP(((ROUNDUP(ABS(('BOQ Twin Frame'!$D$7*1000/2400)-1),2))*('BOQ Twin Frame'!$D$8*1000/Data!$B82))*(1+'BOQ Twin Frame'!$D$12),2))*2</f>
        <v>16.8</v>
      </c>
      <c r="J82" s="42">
        <f t="shared" si="5"/>
        <v>10.920000000000002</v>
      </c>
      <c r="K82" s="42">
        <f>(ROUNDUP(((ROUNDUP(ABS(('BOQ ShaftWall'!$D$7*1000/2400)-1),2))*('BOQ ShaftWall'!$D$8*1000/Data!$B82))*(1+'BOQ ShaftWall'!$D$11),2))*2</f>
        <v>2.2000000000000002</v>
      </c>
      <c r="L82" s="42">
        <f t="shared" si="6"/>
        <v>1.4300000000000002</v>
      </c>
      <c r="N82" s="69" t="s">
        <v>174</v>
      </c>
    </row>
    <row r="85" spans="1:14">
      <c r="A85" t="s">
        <v>59</v>
      </c>
      <c r="B85" t="s">
        <v>27</v>
      </c>
      <c r="E85" t="s">
        <v>132</v>
      </c>
      <c r="G85" s="42" t="s">
        <v>44</v>
      </c>
    </row>
    <row r="86" spans="1:14">
      <c r="A86" t="s">
        <v>74</v>
      </c>
      <c r="B86">
        <v>33</v>
      </c>
      <c r="E86">
        <v>0.01</v>
      </c>
      <c r="F86" s="49">
        <v>2</v>
      </c>
      <c r="G86" s="42">
        <f>ROUNDUP((('BOQ Single Frame'!$D$7*1000/600)/2*(1+'BOQ Single Frame'!$D$9)),2)</f>
        <v>8.75</v>
      </c>
      <c r="H86" s="79">
        <f t="shared" si="4"/>
        <v>8.7500000000000008E-2</v>
      </c>
      <c r="I86" s="79">
        <f>ROUNDUP((('BOQ Twin Frame'!$D$8*1000/600)/2*(1+'BOQ Twin Frame'!$D$12)),2)*2</f>
        <v>17.5</v>
      </c>
      <c r="J86" s="79">
        <f t="shared" si="5"/>
        <v>0.17500000000000002</v>
      </c>
      <c r="K86" s="79">
        <f>ROUNDUP((('BOQ ShaftWall'!$D$8*1000/600)/2*(1+'BOQ ShaftWall'!$D$11)),2)</f>
        <v>8.75</v>
      </c>
      <c r="L86" s="79">
        <f t="shared" si="6"/>
        <v>8.7500000000000008E-2</v>
      </c>
      <c r="N86" s="69" t="s">
        <v>175</v>
      </c>
    </row>
    <row r="87" spans="1:14">
      <c r="A87" t="s">
        <v>75</v>
      </c>
      <c r="B87">
        <v>75</v>
      </c>
      <c r="F87" s="49">
        <v>7</v>
      </c>
      <c r="G87" s="42">
        <f>ROUNDUP((('BOQ Single Frame'!$D$7*1000/600)/2*(1+'BOQ Single Frame'!$D$9)),2)</f>
        <v>8.75</v>
      </c>
      <c r="H87" s="79">
        <f t="shared" si="4"/>
        <v>0</v>
      </c>
      <c r="I87" s="79">
        <f>ROUNDUP((('BOQ Twin Frame'!$D$8*1000/600)/2*(1+'BOQ Twin Frame'!$D$12)),2)*2</f>
        <v>17.5</v>
      </c>
      <c r="J87" s="79">
        <f t="shared" si="5"/>
        <v>0</v>
      </c>
      <c r="K87" s="79">
        <f>ROUNDUP((('BOQ ShaftWall'!$D$8*1000/600)/2*(1+'BOQ ShaftWall'!$D$11)),2)</f>
        <v>8.75</v>
      </c>
      <c r="L87" s="79">
        <f t="shared" si="6"/>
        <v>0</v>
      </c>
    </row>
    <row r="90" spans="1:14">
      <c r="A90" t="s">
        <v>250</v>
      </c>
      <c r="B90" t="s">
        <v>27</v>
      </c>
      <c r="E90" t="s">
        <v>132</v>
      </c>
      <c r="G90" s="42" t="s">
        <v>44</v>
      </c>
    </row>
    <row r="91" spans="1:14">
      <c r="A91" t="s">
        <v>76</v>
      </c>
      <c r="B91">
        <v>25</v>
      </c>
      <c r="E91">
        <v>1</v>
      </c>
      <c r="F91" s="49">
        <v>95</v>
      </c>
      <c r="G91" s="42">
        <f>ROUNDUP((('BOQ Single Frame'!$D$6*'BOQ Single Frame'!$D$7/2.88*((((1200/'BOQ Single Frame'!$D$8)+1)*10)+10))/700)*(1+'BOQ Single Frame'!$D$9),2)*2</f>
        <v>1.46</v>
      </c>
      <c r="H91" s="42">
        <f t="shared" si="4"/>
        <v>1.46</v>
      </c>
      <c r="I91" s="42">
        <f>ROUNDUP((('BOQ Twin Frame'!$D$7*'BOQ Twin Frame'!$D$8/2.88*((((1200/'BOQ Twin Frame'!$D$9)+1)*10)+10))/700)*(1+'BOQ Twin Frame'!$D$12),2)*2</f>
        <v>2.92</v>
      </c>
      <c r="J91" s="42">
        <f t="shared" si="5"/>
        <v>2.92</v>
      </c>
      <c r="K91" s="79">
        <f>ROUNDUP((('BOQ ShaftWall'!$D$7*'BOQ ShaftWall'!$D$8/2.88*((((1200/'BOQ ShaftWall'!$D$9)+1)*10)+10))/700)*(1+'BOQ ShaftWall'!$D$11),2)/2</f>
        <v>0.315</v>
      </c>
      <c r="L91" s="79">
        <f t="shared" si="6"/>
        <v>0.315</v>
      </c>
      <c r="N91" s="69" t="s">
        <v>176</v>
      </c>
    </row>
    <row r="92" spans="1:14">
      <c r="A92" t="s">
        <v>77</v>
      </c>
      <c r="B92">
        <v>38</v>
      </c>
      <c r="E92">
        <v>1</v>
      </c>
      <c r="F92" s="49">
        <v>115</v>
      </c>
      <c r="G92" s="42">
        <f>ROUNDUP((('BOQ Single Frame'!$D$6*'BOQ Single Frame'!$D$7/2.88*((((1200/'BOQ Single Frame'!$D$8)+1)*10)+10))/488)*(1+'BOQ Single Frame'!$D$9),2)*2</f>
        <v>2.1</v>
      </c>
      <c r="H92" s="42">
        <f t="shared" si="4"/>
        <v>2.1</v>
      </c>
      <c r="I92" s="42">
        <f>ROUNDUP((('BOQ Twin Frame'!$D$7*'BOQ Twin Frame'!$D$8/2.88*((((1200/'BOQ Twin Frame'!$D$9)+1)*10)+10))/488)*(1+'BOQ Twin Frame'!$D$12),2)*2</f>
        <v>4.1999999999999993</v>
      </c>
      <c r="J92" s="42">
        <f t="shared" si="5"/>
        <v>4.1999999999999993</v>
      </c>
      <c r="K92" s="42">
        <f>ROUNDUP((('BOQ ShaftWall'!$D$7*'BOQ ShaftWall'!$D$8/2.88*((((1200/'BOQ ShaftWall'!$D$9)+1)*10)+10))/488)*(1+'BOQ ShaftWall'!$D$11),2)/2</f>
        <v>0.45</v>
      </c>
      <c r="L92" s="42">
        <f t="shared" si="6"/>
        <v>0.45</v>
      </c>
      <c r="N92" s="69" t="s">
        <v>177</v>
      </c>
    </row>
    <row r="93" spans="1:14">
      <c r="A93" t="s">
        <v>78</v>
      </c>
      <c r="B93">
        <v>25</v>
      </c>
      <c r="F93" s="49">
        <v>550</v>
      </c>
      <c r="G93" s="42">
        <f>ROUNDUP((('BOQ Single Frame'!$D$6*'BOQ Single Frame'!$D$7/2.88*((((1200/'BOQ Single Frame'!$D$8)+1)*10)+10))/500)*(1+'BOQ Single Frame'!$D$9),2)*2</f>
        <v>2.06</v>
      </c>
      <c r="H93" s="42">
        <f t="shared" si="4"/>
        <v>0</v>
      </c>
      <c r="I93" s="42">
        <f>ROUNDUP((('BOQ Twin Frame'!$D$7*'BOQ Twin Frame'!$D$8/2.88*((((1200/'BOQ Twin Frame'!$D$9)+1)*10)+10))/500)*(1+'BOQ Twin Frame'!$D$12),2)*2</f>
        <v>4.0999999999999996</v>
      </c>
      <c r="J93" s="42">
        <f t="shared" si="5"/>
        <v>0</v>
      </c>
      <c r="K93" s="42">
        <f>ROUNDUP((('BOQ ShaftWall'!$D$7*'BOQ ShaftWall'!$D$8/2.88*((((1200/'BOQ ShaftWall'!$D$9)+1)*10)+10))/500)*(1+'BOQ ShaftWall'!$D$11),2)/2</f>
        <v>0.44</v>
      </c>
      <c r="L93" s="42">
        <f t="shared" si="6"/>
        <v>0</v>
      </c>
      <c r="N93" s="69" t="s">
        <v>178</v>
      </c>
    </row>
    <row r="94" spans="1:14">
      <c r="A94" t="s">
        <v>79</v>
      </c>
      <c r="B94">
        <v>38</v>
      </c>
      <c r="F94" s="49">
        <v>600</v>
      </c>
      <c r="G94" s="42">
        <f>ROUNDUP((('BOQ Single Frame'!$D$6*'BOQ Single Frame'!$D$7/2.88*((((1200/'BOQ Single Frame'!$D$8)+1)*10)+10))/500)*(1+'BOQ Single Frame'!$D$9),2)*2</f>
        <v>2.06</v>
      </c>
      <c r="H94" s="42">
        <f t="shared" si="4"/>
        <v>0</v>
      </c>
      <c r="I94" s="42">
        <f>ROUNDUP((('BOQ Twin Frame'!$D$7*'BOQ Twin Frame'!$D$8/2.88*((((1200/'BOQ Twin Frame'!$D$9)+1)*10)+10))/500)*(1+'BOQ Twin Frame'!$D$12),2)*2</f>
        <v>4.0999999999999996</v>
      </c>
      <c r="J94" s="42">
        <f t="shared" si="5"/>
        <v>0</v>
      </c>
      <c r="K94" s="42">
        <f>ROUNDUP((('BOQ ShaftWall'!$D$7*'BOQ ShaftWall'!$D$8/2.88*((((1200/'BOQ ShaftWall'!$D$9)+1)*10)+10))/500)*(1+'BOQ ShaftWall'!$D$11),2)/2</f>
        <v>0.44</v>
      </c>
      <c r="L94" s="42">
        <f t="shared" si="6"/>
        <v>0</v>
      </c>
      <c r="N94" s="69" t="s">
        <v>179</v>
      </c>
    </row>
    <row r="95" spans="1:14">
      <c r="A95" t="s">
        <v>81</v>
      </c>
      <c r="B95">
        <v>75</v>
      </c>
      <c r="E95">
        <v>1</v>
      </c>
      <c r="F95" s="49">
        <v>115</v>
      </c>
      <c r="G95" s="42">
        <f>ROUNDUP((('BOQ Single Frame'!$D$6*'BOQ Single Frame'!$D$7/2.88*((((1200/'BOQ Single Frame'!$D$8)+1)*10)+10))/300)*(1+'BOQ Single Frame'!$D$9),2)*2</f>
        <v>3.42</v>
      </c>
      <c r="H95" s="42">
        <f t="shared" si="4"/>
        <v>3.42</v>
      </c>
      <c r="I95" s="42">
        <f>ROUNDUP((('BOQ Twin Frame'!$D$7*'BOQ Twin Frame'!$D$8/2.88*((((1200/'BOQ Twin Frame'!$D$9)+1)*10)+10))/300)*(1+'BOQ Twin Frame'!$D$12),2)*2</f>
        <v>6.8199999999999994</v>
      </c>
      <c r="J95" s="42">
        <f t="shared" si="5"/>
        <v>6.8199999999999994</v>
      </c>
      <c r="K95" s="42">
        <f>ROUNDUP((('BOQ ShaftWall'!$D$7*'BOQ ShaftWall'!$D$8/2.88*((((1200/'BOQ ShaftWall'!$D$9)+1)*10)+10))/300)*(1+'BOQ ShaftWall'!$D$11),2)/2</f>
        <v>0.73</v>
      </c>
      <c r="L95" s="42">
        <f t="shared" si="6"/>
        <v>0.73</v>
      </c>
      <c r="N95" s="69" t="s">
        <v>181</v>
      </c>
    </row>
    <row r="97" spans="1:14">
      <c r="A97" t="s">
        <v>254</v>
      </c>
      <c r="B97" t="s">
        <v>27</v>
      </c>
      <c r="E97" t="s">
        <v>132</v>
      </c>
      <c r="G97" s="42" t="s">
        <v>44</v>
      </c>
    </row>
    <row r="98" spans="1:14">
      <c r="A98" t="s">
        <v>77</v>
      </c>
      <c r="B98">
        <v>38</v>
      </c>
      <c r="E98">
        <v>1</v>
      </c>
      <c r="F98" s="49">
        <v>115</v>
      </c>
      <c r="G98" s="42">
        <f>ROUNDUP((('BOQ Single Frame'!$D$6*'BOQ Single Frame'!$D$7/2.88*((((1200/'BOQ Single Frame'!$D$8)+1)*10)+10))/488)*(1+'BOQ Single Frame'!$D$9),2)*2</f>
        <v>2.1</v>
      </c>
      <c r="H98" s="42">
        <f t="shared" si="4"/>
        <v>2.1</v>
      </c>
      <c r="I98" s="42">
        <f>ROUNDUP((('BOQ Twin Frame'!$D$7*'BOQ Twin Frame'!$D$8/2.88*((((1200/'BOQ Twin Frame'!$D$9)+1)*10)+10))/488)*(1+'BOQ Twin Frame'!$D$12),2)*2</f>
        <v>4.1999999999999993</v>
      </c>
      <c r="J98" s="42">
        <f t="shared" si="5"/>
        <v>4.1999999999999993</v>
      </c>
      <c r="K98" s="42">
        <f>ROUNDUP((('BOQ ShaftWall'!$D$7*'BOQ ShaftWall'!$D$8/2.88*((((1200/'BOQ ShaftWall'!$D$9)+1)*10)+10))/488)*(1+'BOQ ShaftWall'!$D$11),2)/2</f>
        <v>0.45</v>
      </c>
      <c r="L98" s="42">
        <f t="shared" si="6"/>
        <v>0.45</v>
      </c>
      <c r="N98" s="69" t="s">
        <v>177</v>
      </c>
    </row>
    <row r="99" spans="1:14">
      <c r="A99" t="s">
        <v>81</v>
      </c>
      <c r="B99">
        <v>75</v>
      </c>
      <c r="E99">
        <v>1</v>
      </c>
      <c r="F99" s="49">
        <v>115</v>
      </c>
      <c r="G99" s="42">
        <f>ROUNDUP((('BOQ Single Frame'!$D$6*'BOQ Single Frame'!$D$7/2.88*((((1200/'BOQ Single Frame'!$D$8)+1)*10)+10))/300)*(1+'BOQ Single Frame'!$D$9),2)*2</f>
        <v>3.42</v>
      </c>
      <c r="H99" s="42">
        <f t="shared" si="4"/>
        <v>3.42</v>
      </c>
      <c r="I99" s="42">
        <f>ROUNDUP((('BOQ Twin Frame'!$D$7*'BOQ Twin Frame'!$D$8/2.88*((((1200/'BOQ Twin Frame'!$D$9)+1)*10)+10))/300)*(1+'BOQ Twin Frame'!$D$12),2)*2</f>
        <v>6.8199999999999994</v>
      </c>
      <c r="J99" s="42">
        <f t="shared" si="5"/>
        <v>6.8199999999999994</v>
      </c>
      <c r="K99" s="42">
        <f>ROUNDUP((('BOQ ShaftWall'!$D$7*'BOQ ShaftWall'!$D$8/2.88*((((1200/'BOQ ShaftWall'!$D$9)+1)*10)+10))/300)*(1+'BOQ ShaftWall'!$D$11),2)/2</f>
        <v>0.73</v>
      </c>
      <c r="L99" s="42">
        <f t="shared" si="6"/>
        <v>0.73</v>
      </c>
      <c r="N99" s="69" t="s">
        <v>181</v>
      </c>
    </row>
    <row r="100" spans="1:14">
      <c r="A100" t="s">
        <v>79</v>
      </c>
      <c r="B100">
        <v>38</v>
      </c>
      <c r="F100" s="49">
        <v>600</v>
      </c>
      <c r="G100" s="42">
        <f>ROUNDUP((('BOQ Single Frame'!$D$6*'BOQ Single Frame'!$D$7/2.88*((((1200/'BOQ Single Frame'!$D$8)+1)*10)+10))/500)*(1+'BOQ Single Frame'!$D$9),2)*2</f>
        <v>2.06</v>
      </c>
      <c r="H100" s="42">
        <f t="shared" si="4"/>
        <v>0</v>
      </c>
      <c r="I100" s="42">
        <f>ROUNDUP((('BOQ Twin Frame'!$D$7*'BOQ Twin Frame'!$D$8/2.88*((((1200/'BOQ Twin Frame'!$D$9)+1)*10)+10))/500)*(1+'BOQ Twin Frame'!$D$12),2)*2</f>
        <v>4.0999999999999996</v>
      </c>
      <c r="J100" s="42">
        <f t="shared" si="5"/>
        <v>0</v>
      </c>
      <c r="K100" s="42">
        <f>ROUNDUP((('BOQ ShaftWall'!$D$7*'BOQ ShaftWall'!$D$8/2.88*((((1200/'BOQ ShaftWall'!$D$9)+1)*10)+10))/500)*(1+'BOQ ShaftWall'!$D$11),2)/2</f>
        <v>0.44</v>
      </c>
      <c r="L100" s="42">
        <f t="shared" si="6"/>
        <v>0</v>
      </c>
      <c r="N100" s="69" t="s">
        <v>179</v>
      </c>
    </row>
    <row r="101" spans="1:14">
      <c r="A101" t="s">
        <v>80</v>
      </c>
      <c r="B101">
        <v>45</v>
      </c>
      <c r="F101" s="49">
        <v>680</v>
      </c>
      <c r="G101" s="42">
        <f>ROUNDUP((('BOQ Single Frame'!$D$6*'BOQ Single Frame'!$D$7/2.88*((((1200/'BOQ Single Frame'!$D$8)+1)*10)+10))/500)*(1+'BOQ Single Frame'!$D$9),2)*2</f>
        <v>2.06</v>
      </c>
      <c r="H101" s="42">
        <f t="shared" si="4"/>
        <v>0</v>
      </c>
      <c r="I101" s="42">
        <f>ROUNDUP((('BOQ Twin Frame'!$D$7*'BOQ Twin Frame'!$D$8/2.88*((((1200/'BOQ Twin Frame'!$D$9)+1)*10)+10))/500)*(1+'BOQ Twin Frame'!$D$12),2)*2</f>
        <v>4.0999999999999996</v>
      </c>
      <c r="J101" s="42">
        <f t="shared" si="5"/>
        <v>0</v>
      </c>
      <c r="K101" s="42">
        <f>ROUNDUP((('BOQ ShaftWall'!$D$7*'BOQ ShaftWall'!$D$8/2.88*((((1200/'BOQ ShaftWall'!$D$9)+1)*10)+10))/500)*(1+'BOQ ShaftWall'!$D$11),2)/2</f>
        <v>0.44</v>
      </c>
      <c r="L101" s="42">
        <f t="shared" si="6"/>
        <v>0</v>
      </c>
      <c r="N101" s="69" t="s">
        <v>180</v>
      </c>
    </row>
    <row r="104" spans="1:14">
      <c r="A104" t="s">
        <v>62</v>
      </c>
      <c r="B104" t="s">
        <v>27</v>
      </c>
      <c r="E104" t="s">
        <v>132</v>
      </c>
      <c r="G104" s="42" t="s">
        <v>44</v>
      </c>
    </row>
    <row r="105" spans="1:14">
      <c r="A105" t="s">
        <v>82</v>
      </c>
      <c r="B105">
        <v>13</v>
      </c>
      <c r="E105">
        <v>1</v>
      </c>
      <c r="F105" s="49">
        <v>320</v>
      </c>
      <c r="G105" s="42">
        <f>ROUNDUP((((ROUNDUP('BOQ Single Frame'!$D$6/2.4,2)*4)+2)*('BOQ Single Frame'!$D$7*1000/'BOQ Single Frame'!$D$8))/694*(1+'BOQ Single Frame'!$D$9),2)</f>
        <v>0.26</v>
      </c>
      <c r="H105" s="42">
        <f t="shared" si="4"/>
        <v>0.26</v>
      </c>
      <c r="I105" s="42">
        <f>ROUNDUP((((ROUNDUP('BOQ Twin Frame'!$D$7/2.4,2)*4)+2)*('BOQ Twin Frame'!$D$8*1000/'BOQ Twin Frame'!$D$9))*2/694*(1+'BOQ Twin Frame'!$D$12),2)</f>
        <v>0.69000000000000006</v>
      </c>
      <c r="J105" s="42">
        <f t="shared" si="5"/>
        <v>0.69000000000000006</v>
      </c>
      <c r="K105" s="42">
        <f>ROUNDUP((((ROUNDUP('BOQ ShaftWall'!$D$7/2.4,2)*4)+2)*('BOQ ShaftWall'!$D$8*1000/'BOQ ShaftWall'!$D$9))/694*(1+'BOQ ShaftWall'!$D$11),2)</f>
        <v>0.18000000000000002</v>
      </c>
      <c r="L105" s="42">
        <f t="shared" si="6"/>
        <v>0.18000000000000002</v>
      </c>
      <c r="N105" s="69" t="s">
        <v>182</v>
      </c>
    </row>
    <row r="108" spans="1:14">
      <c r="A108" t="s">
        <v>63</v>
      </c>
      <c r="B108" t="s">
        <v>83</v>
      </c>
      <c r="E108" t="s">
        <v>132</v>
      </c>
      <c r="G108" s="42" t="s">
        <v>44</v>
      </c>
    </row>
    <row r="109" spans="1:14">
      <c r="A109" t="s">
        <v>84</v>
      </c>
      <c r="B109">
        <v>25</v>
      </c>
      <c r="E109">
        <v>25</v>
      </c>
      <c r="F109" s="49">
        <v>212</v>
      </c>
      <c r="G109" s="42">
        <f>ROUNDUP((0.375*'BOQ Single Frame'!$D$6*'BOQ Single Frame'!$D$7*2/$B109)*(1+'BOQ Single Frame'!$D$9),2)</f>
        <v>0.89</v>
      </c>
      <c r="H109" s="42">
        <f t="shared" si="4"/>
        <v>22.25</v>
      </c>
      <c r="I109" s="42">
        <f>ROUNDUP((0.375*'BOQ Twin Frame'!$D$7*'BOQ Twin Frame'!$D$8*2/$B109)*(1+'BOQ Twin Frame'!$D$12),2)</f>
        <v>2.21</v>
      </c>
      <c r="J109" s="42">
        <f t="shared" si="5"/>
        <v>55.25</v>
      </c>
      <c r="K109" s="42">
        <f>ROUNDUP((0.375*'BOQ ShaftWall'!$D$7*'BOQ ShaftWall'!$D$8*2/$B109)*(1+'BOQ ShaftWall'!$D$11),2)/2</f>
        <v>0.47499999999999998</v>
      </c>
      <c r="L109" s="79">
        <f t="shared" si="6"/>
        <v>11.875</v>
      </c>
      <c r="N109" s="69" t="s">
        <v>183</v>
      </c>
    </row>
    <row r="110" spans="1:14">
      <c r="A110" t="s">
        <v>139</v>
      </c>
      <c r="B110">
        <v>20</v>
      </c>
      <c r="E110">
        <v>20</v>
      </c>
      <c r="F110" s="49">
        <v>190</v>
      </c>
      <c r="G110" s="42">
        <f>ROUNDUP((0.375*'BOQ Single Frame'!$D$6*'BOQ Single Frame'!$D$7*2/$B110)*(1+'BOQ Single Frame'!$D$9),2)</f>
        <v>1.1100000000000001</v>
      </c>
      <c r="H110" s="42">
        <f t="shared" si="4"/>
        <v>22.200000000000003</v>
      </c>
      <c r="I110" s="42">
        <f>ROUNDUP((0.375*'BOQ Twin Frame'!$D$7*'BOQ Twin Frame'!$D$8*2/$B110)*(1+'BOQ Twin Frame'!$D$12),2)</f>
        <v>2.76</v>
      </c>
      <c r="J110" s="42">
        <f t="shared" si="5"/>
        <v>55.199999999999996</v>
      </c>
      <c r="K110" s="42">
        <f>ROUNDUP((0.375*'BOQ ShaftWall'!$D$7*'BOQ ShaftWall'!$D$8*2/$B110)*(1+'BOQ ShaftWall'!$D$11),2)/2</f>
        <v>0.59499999999999997</v>
      </c>
      <c r="L110" s="79">
        <f t="shared" si="6"/>
        <v>11.899999999999999</v>
      </c>
      <c r="N110" s="69" t="s">
        <v>184</v>
      </c>
    </row>
    <row r="111" spans="1:14">
      <c r="L111" s="79"/>
    </row>
    <row r="112" spans="1:14">
      <c r="A112" t="s">
        <v>93</v>
      </c>
      <c r="B112" t="s">
        <v>95</v>
      </c>
      <c r="E112" t="s">
        <v>132</v>
      </c>
      <c r="L112" s="79"/>
    </row>
    <row r="113" spans="1:14">
      <c r="A113" t="s">
        <v>94</v>
      </c>
      <c r="B113">
        <v>25</v>
      </c>
      <c r="E113">
        <v>0.25</v>
      </c>
      <c r="F113" s="49">
        <v>37</v>
      </c>
      <c r="G113" s="42">
        <f>ROUNDUP(1.25*'BOQ Single Frame'!$D$6*'BOQ Single Frame'!$D$7*2*(1+'BOQ Single Frame'!$D$9)/$B113,2)</f>
        <v>2.94</v>
      </c>
      <c r="H113" s="42">
        <f t="shared" si="4"/>
        <v>0.73499999999999999</v>
      </c>
      <c r="I113" s="42">
        <f>ROUNDUP(1.25*'BOQ Twin Frame'!$D$7*'BOQ Twin Frame'!$D$8*2*(1+'BOQ Twin Frame'!$D$12)/$B113,2)</f>
        <v>7.35</v>
      </c>
      <c r="J113" s="42">
        <f t="shared" si="5"/>
        <v>1.8374999999999999</v>
      </c>
      <c r="K113" s="42">
        <f>ROUNDUP(1.25*'BOQ ShaftWall'!$D$7*'BOQ ShaftWall'!$D$8*2*(1+'BOQ ShaftWall'!$D$11)/$B113,2)/2</f>
        <v>1.575</v>
      </c>
      <c r="L113" s="79">
        <f t="shared" si="6"/>
        <v>0.39374999999999999</v>
      </c>
      <c r="N113" s="69" t="s">
        <v>185</v>
      </c>
    </row>
    <row r="114" spans="1:14">
      <c r="A114" t="s">
        <v>192</v>
      </c>
      <c r="B114">
        <v>20</v>
      </c>
      <c r="E114">
        <v>0.6</v>
      </c>
      <c r="F114" s="49">
        <v>31.5</v>
      </c>
      <c r="G114" s="42">
        <f>ROUNDUP(1.25*'BOQ Single Frame'!$D$6*'BOQ Single Frame'!$D$7*2*(1+'BOQ Single Frame'!$D$9)/$B114,2)</f>
        <v>3.6799999999999997</v>
      </c>
      <c r="H114" s="42">
        <f>$G114*$E114</f>
        <v>2.2079999999999997</v>
      </c>
      <c r="I114" s="42">
        <f>ROUNDUP(1.25*'BOQ Twin Frame'!$D$7*'BOQ Twin Frame'!$D$8*2*(1+'BOQ Twin Frame'!$D$12)/$B114,2)</f>
        <v>9.19</v>
      </c>
      <c r="J114" s="42">
        <f>$I114*$E114</f>
        <v>5.5139999999999993</v>
      </c>
      <c r="K114" s="42">
        <f>ROUNDUP(1.25*'BOQ ShaftWall'!$D$7*'BOQ ShaftWall'!$D$8*2*(1+'BOQ ShaftWall'!$D$11)/$B114,2)/2</f>
        <v>1.97</v>
      </c>
      <c r="L114" s="42">
        <f>$K114*$E114</f>
        <v>1.1819999999999999</v>
      </c>
      <c r="N114" s="69" t="s">
        <v>193</v>
      </c>
    </row>
    <row r="116" spans="1:14">
      <c r="A116" t="s">
        <v>115</v>
      </c>
      <c r="B116">
        <v>10</v>
      </c>
      <c r="C116">
        <v>120</v>
      </c>
      <c r="E116">
        <v>1</v>
      </c>
      <c r="F116" s="49">
        <v>929</v>
      </c>
      <c r="G116" s="42">
        <f>ROUNDUP(('BOQ Single Frame'!$D$7/$B116*2*(1+'BOQ Single Frame'!$D$9)),2)</f>
        <v>2.1</v>
      </c>
      <c r="H116" s="42">
        <f t="shared" si="4"/>
        <v>2.1</v>
      </c>
      <c r="I116" s="42">
        <f>ROUNDUP(('BOQ Single Frame'!$D$7/$B116*2*(1+'BOQ Twin Frame'!$D$12)),2)</f>
        <v>2.1</v>
      </c>
      <c r="J116" s="42">
        <f t="shared" si="5"/>
        <v>2.1</v>
      </c>
      <c r="K116" s="42">
        <f>ROUNDUP(('BOQ ShaftWall'!$D$8/$B116*2*(1+'BOQ ShaftWall'!$D$11)),2)/2</f>
        <v>1.05</v>
      </c>
      <c r="L116" s="42">
        <f t="shared" si="6"/>
        <v>1.05</v>
      </c>
    </row>
    <row r="118" spans="1:14">
      <c r="A118" t="s">
        <v>64</v>
      </c>
      <c r="B118" t="s">
        <v>85</v>
      </c>
      <c r="E118" t="s">
        <v>132</v>
      </c>
      <c r="G118" s="42" t="s">
        <v>44</v>
      </c>
    </row>
    <row r="119" spans="1:14">
      <c r="A119" t="s">
        <v>141</v>
      </c>
      <c r="B119">
        <v>50</v>
      </c>
      <c r="C119">
        <v>1200</v>
      </c>
      <c r="D119">
        <v>15000</v>
      </c>
      <c r="E119">
        <f>24*1.2*30*0.05</f>
        <v>43.199999999999996</v>
      </c>
      <c r="F119" s="49">
        <v>2965</v>
      </c>
      <c r="G119" s="42">
        <f>ROUNDUP(('BOQ Single Frame'!$D$6*'BOQ Single Frame'!$D$7*1000000/(C119*D119))*(1+'BOQ Single Frame'!$D$9),2)</f>
        <v>1.64</v>
      </c>
      <c r="H119" s="79">
        <f t="shared" si="4"/>
        <v>70.847999999999985</v>
      </c>
      <c r="I119" s="42">
        <f>ROUNDUP(('BOQ Twin Frame'!$D$7*'BOQ Twin Frame'!$D$8*1000000/(C119*D119))*(1+'BOQ Twin Frame'!$D$12),2)</f>
        <v>4.09</v>
      </c>
      <c r="J119" s="79">
        <f t="shared" si="5"/>
        <v>176.68799999999999</v>
      </c>
      <c r="K119" s="42">
        <f>ROUNDUP(('BOQ ShaftWall'!$D$7*'BOQ ShaftWall'!$D$8*1000000/(C119*D119))*(1+'BOQ ShaftWall'!$D$11),2)</f>
        <v>1.75</v>
      </c>
      <c r="L119" s="42">
        <f t="shared" si="6"/>
        <v>75.599999999999994</v>
      </c>
      <c r="N119" s="69" t="s">
        <v>186</v>
      </c>
    </row>
    <row r="120" spans="1:14">
      <c r="A120" t="s">
        <v>142</v>
      </c>
      <c r="B120">
        <v>50</v>
      </c>
      <c r="C120">
        <v>1200</v>
      </c>
      <c r="D120">
        <v>10000</v>
      </c>
      <c r="E120">
        <f>40*1.2*10*0.05</f>
        <v>24</v>
      </c>
      <c r="F120" s="49">
        <v>3140</v>
      </c>
      <c r="G120" s="42">
        <f>ROUNDUP(('BOQ Single Frame'!$D$6*'BOQ Single Frame'!$D$7*1000000/(C120*D120))*(1+'BOQ Single Frame'!$D$9),2)</f>
        <v>2.4500000000000002</v>
      </c>
      <c r="H120" s="79">
        <f t="shared" si="4"/>
        <v>58.800000000000004</v>
      </c>
      <c r="I120" s="42">
        <f>ROUNDUP(('BOQ Twin Frame'!$D$7*'BOQ Twin Frame'!$D$8*1000000/(C120*D120))*(1+'BOQ Twin Frame'!$D$12),2)</f>
        <v>6.13</v>
      </c>
      <c r="J120" s="42">
        <f t="shared" si="5"/>
        <v>147.12</v>
      </c>
      <c r="K120" s="42">
        <f>ROUNDUP(('BOQ ShaftWall'!$D$7*'BOQ ShaftWall'!$D$8*1000000/(C120*D120))*(1+'BOQ ShaftWall'!$D$11),2)</f>
        <v>2.63</v>
      </c>
      <c r="L120" s="42">
        <f t="shared" si="6"/>
        <v>63.12</v>
      </c>
      <c r="N120" s="69" t="s">
        <v>187</v>
      </c>
    </row>
    <row r="122" spans="1:14">
      <c r="A122" t="s">
        <v>65</v>
      </c>
      <c r="B122" t="s">
        <v>86</v>
      </c>
      <c r="E122" t="s">
        <v>132</v>
      </c>
      <c r="G122" s="42" t="s">
        <v>44</v>
      </c>
    </row>
    <row r="123" spans="1:14">
      <c r="A123" t="s">
        <v>87</v>
      </c>
      <c r="B123">
        <v>600</v>
      </c>
      <c r="E123">
        <v>0.98</v>
      </c>
      <c r="F123" s="148" t="s">
        <v>246</v>
      </c>
      <c r="G123" s="42">
        <f>ROUNDUP(('BOQ Single Frame'!$D$7*4*36/$B123)*(1+'BOQ Single Frame'!$D$9),2)</f>
        <v>2.52</v>
      </c>
      <c r="H123" s="79">
        <f t="shared" si="4"/>
        <v>2.4695999999999998</v>
      </c>
      <c r="I123" s="79">
        <f>ROUNDUP(('BOQ Twin Frame'!$D$8*4*36/$B123)*(1+'BOQ Twin Frame'!$D$12),2)</f>
        <v>2.52</v>
      </c>
      <c r="J123" s="79">
        <f t="shared" si="5"/>
        <v>2.4695999999999998</v>
      </c>
      <c r="K123" s="79">
        <f>ROUNDUP((('BOQ ShaftWall'!$D$8*4*36/$B123)+('BOQ ShaftWall'!$D$7*4*36/$B123)+((('BOQ ShaftWall'!$D$8*1000/'BOQ ShaftWall'!$D$9)+1)*2*'BOQ ShaftWall'!$D$7*36/$B123))*(1+'BOQ ShaftWall'!$D$11),2)</f>
        <v>9.9599999999999991</v>
      </c>
      <c r="L123" s="79">
        <f t="shared" si="6"/>
        <v>9.7607999999999997</v>
      </c>
      <c r="N123" s="78" t="s">
        <v>202</v>
      </c>
    </row>
    <row r="124" spans="1:14">
      <c r="A124" t="s">
        <v>253</v>
      </c>
      <c r="B124">
        <v>580</v>
      </c>
      <c r="E124">
        <v>0.92</v>
      </c>
      <c r="F124" s="148" t="s">
        <v>246</v>
      </c>
      <c r="G124" s="42">
        <f>ROUNDUP(('BOQ Single Frame'!$D$7*4*36/$B124)*(1+'BOQ Single Frame'!$D$9),2)</f>
        <v>2.61</v>
      </c>
      <c r="H124" s="79">
        <f>$G124*$E124</f>
        <v>2.4011999999999998</v>
      </c>
      <c r="I124" s="79">
        <f>ROUNDUP(('BOQ Twin Frame'!$D$8*4*36/$B124)*(1+'BOQ Twin Frame'!$D$12),2)</f>
        <v>2.61</v>
      </c>
      <c r="J124" s="79">
        <f t="shared" si="5"/>
        <v>2.4011999999999998</v>
      </c>
      <c r="K124" s="79">
        <f>ROUNDUP((('BOQ ShaftWall'!$D$8*4*36/$B124)+('BOQ ShaftWall'!$D$7*4*36/$B124)+((('BOQ ShaftWall'!$D$8*1000/'BOQ ShaftWall'!$D$9)+1)*2*'BOQ ShaftWall'!$D$7*36/$B124))*(1+'BOQ ShaftWall'!$D$11),2)</f>
        <v>10.299999999999999</v>
      </c>
      <c r="L124" s="79">
        <f t="shared" si="6"/>
        <v>9.4759999999999991</v>
      </c>
    </row>
    <row r="125" spans="1:14">
      <c r="F125" s="148"/>
      <c r="H125" s="79"/>
      <c r="I125" s="79"/>
      <c r="J125" s="79"/>
      <c r="K125" s="79"/>
      <c r="L125" s="79"/>
    </row>
    <row r="126" spans="1:14">
      <c r="A126" t="s">
        <v>196</v>
      </c>
      <c r="E126">
        <v>23</v>
      </c>
      <c r="F126" s="49">
        <v>1250</v>
      </c>
      <c r="G126" s="42">
        <f>ROUNDUP(((1.8*'BOQ Single Frame'!$D$7)/($E$126/4))*2*(1+'BOQ Single Frame'!$D$9),2)</f>
        <v>6.58</v>
      </c>
      <c r="H126" s="79">
        <f t="shared" si="4"/>
        <v>151.34</v>
      </c>
      <c r="I126" s="79">
        <f>ROUNDUP(((1.8*'BOQ Twin Frame'!$D$8)/($E$126/4))*2*(1+'BOQ Twin Frame'!$D$12),2)</f>
        <v>6.58</v>
      </c>
      <c r="J126" s="79">
        <f t="shared" si="5"/>
        <v>151.34</v>
      </c>
      <c r="K126" s="79">
        <f>ROUNDUP(((1.8*'BOQ Twin Frame'!$D$8)/($E$126/4))*1*(1+'BOQ Twin Frame'!$D$12),2)</f>
        <v>3.2899999999999996</v>
      </c>
      <c r="L126" s="79">
        <f>$K126*$E126</f>
        <v>75.669999999999987</v>
      </c>
    </row>
    <row r="127" spans="1:14">
      <c r="A127" t="s">
        <v>195</v>
      </c>
      <c r="E127">
        <v>23</v>
      </c>
      <c r="F127" s="49">
        <v>1250</v>
      </c>
      <c r="G127" s="42">
        <f>ROUNDUP(((0.3*'BOQ Single Frame'!$D$7)/($E$127/4))*2*(1+'BOQ Single Frame'!$D$9),2)</f>
        <v>1.1000000000000001</v>
      </c>
      <c r="H127" s="79">
        <f t="shared" si="4"/>
        <v>25.3</v>
      </c>
      <c r="I127" s="79">
        <f>ROUNDUP(((0.3*'BOQ Single Frame'!$D$7)/($E$127/4))*2*(1+'BOQ Twin Frame'!$D$12),2)</f>
        <v>1.1000000000000001</v>
      </c>
      <c r="J127" s="79">
        <f t="shared" si="5"/>
        <v>25.3</v>
      </c>
      <c r="K127" s="79">
        <f>ROUNDUP(((0.3*'BOQ Single Frame'!$D$7)/($E$127/4))*1*(1+'BOQ Twin Frame'!$D$12),2)</f>
        <v>0.55000000000000004</v>
      </c>
      <c r="L127" s="79">
        <f>$K127*$E127</f>
        <v>12.65</v>
      </c>
    </row>
    <row r="128" spans="1:14">
      <c r="A128" t="s">
        <v>197</v>
      </c>
      <c r="E128">
        <v>25</v>
      </c>
      <c r="F128" s="49">
        <v>650</v>
      </c>
      <c r="G128" s="42">
        <f>ROUNDUP(((1.8*'BOQ Single Frame'!$D$7)/($E$128/4))*2*(1+'BOQ Single Frame'!$D$9),2)</f>
        <v>6.05</v>
      </c>
      <c r="H128" s="79">
        <f t="shared" si="4"/>
        <v>151.25</v>
      </c>
      <c r="I128" s="79">
        <f>ROUNDUP(((1.8*'BOQ Twin Frame'!$D$8)/($E$128/4))*2*(1+'BOQ Twin Frame'!$D$12),2)</f>
        <v>6.05</v>
      </c>
      <c r="J128" s="79">
        <f t="shared" si="5"/>
        <v>151.25</v>
      </c>
      <c r="K128" s="79">
        <f>ROUNDUP(((1.8*'BOQ Twin Frame'!$D$8)/($E$128/4))*1*(1+'BOQ Twin Frame'!$D$12),2)</f>
        <v>3.03</v>
      </c>
      <c r="L128" s="79">
        <f>$K128*$E128</f>
        <v>75.75</v>
      </c>
    </row>
    <row r="129" spans="1:14">
      <c r="A129" t="s">
        <v>198</v>
      </c>
      <c r="E129">
        <v>25</v>
      </c>
      <c r="F129" s="49">
        <v>650</v>
      </c>
      <c r="G129" s="42">
        <f>ROUNDUP(((0.3*'BOQ Single Frame'!$D$7)/($E$129/4))*2*(1+'BOQ Single Frame'!$D$9),2)</f>
        <v>1.01</v>
      </c>
      <c r="H129" s="79">
        <f t="shared" si="4"/>
        <v>25.25</v>
      </c>
      <c r="I129" s="79">
        <f>ROUNDUP(((0.3*'BOQ Single Frame'!$D$7)/($E$129/4))*2*(1+'BOQ Twin Frame'!$D$12),2)</f>
        <v>1.01</v>
      </c>
      <c r="J129" s="79">
        <f t="shared" si="5"/>
        <v>25.25</v>
      </c>
      <c r="K129" s="79">
        <f>ROUNDUP(((0.3*'BOQ Single Frame'!$D$7)/($E$129/4))*1*(1+'BOQ Twin Frame'!$D$12),2)</f>
        <v>0.51</v>
      </c>
      <c r="L129" s="79">
        <f>$K129*$E129</f>
        <v>12.75</v>
      </c>
    </row>
    <row r="130" spans="1:14">
      <c r="H130" s="79"/>
      <c r="I130" s="79"/>
      <c r="J130" s="79"/>
      <c r="K130" s="79"/>
      <c r="L130" s="79"/>
    </row>
    <row r="131" spans="1:14">
      <c r="A131" t="s">
        <v>130</v>
      </c>
      <c r="B131">
        <v>600</v>
      </c>
      <c r="E131">
        <v>0.6</v>
      </c>
      <c r="F131" s="49">
        <v>400</v>
      </c>
      <c r="H131" s="79">
        <f t="shared" si="4"/>
        <v>0</v>
      </c>
      <c r="I131" s="79"/>
      <c r="J131" s="79">
        <f t="shared" si="5"/>
        <v>0</v>
      </c>
      <c r="K131" s="79">
        <f>ROUNDUP((('BOQ ShaftWall'!$D$8*4*25/$B131)+('BOQ ShaftWall'!$D$7*4*25/$B131)+((('BOQ ShaftWall'!$D$8*1000/'BOQ ShaftWall'!$D$9)+1)*2*'BOQ ShaftWall'!$D$7*25/$B131))*(1+'BOQ ShaftWall'!$D$11),2)</f>
        <v>6.92</v>
      </c>
      <c r="L131" s="79">
        <f t="shared" si="6"/>
        <v>4.1520000000000001</v>
      </c>
    </row>
    <row r="134" spans="1:14">
      <c r="A134" t="s">
        <v>136</v>
      </c>
      <c r="B134" t="s">
        <v>27</v>
      </c>
      <c r="C134" t="s">
        <v>28</v>
      </c>
      <c r="E134" t="s">
        <v>132</v>
      </c>
      <c r="G134" s="42" t="s">
        <v>44</v>
      </c>
    </row>
    <row r="135" spans="1:14">
      <c r="A135" t="s">
        <v>36</v>
      </c>
      <c r="B135">
        <v>3000</v>
      </c>
      <c r="C135">
        <v>51</v>
      </c>
      <c r="E135">
        <v>1.32</v>
      </c>
      <c r="F135" s="49">
        <v>105</v>
      </c>
      <c r="G135" s="42" t="e">
        <f>(ROUNDUP(('BOQ Single Frame'!$D$7*1000/$B135),1))*(ROUNDUP(('BOQ Single Frame'!$D$6*1000/'BOQ Single Frame'!#REF!),1))*1.5*(1+'BOQ Single Frame'!$D$9)</f>
        <v>#REF!</v>
      </c>
      <c r="H135" s="42" t="e">
        <f t="shared" ref="H135:H138" si="7">$G135*$E135</f>
        <v>#REF!</v>
      </c>
      <c r="I135" s="42" t="e">
        <f>(ROUNDUP((('BOQ Twin Frame'!$D$8*1000/$B135)),2)*2)*(ROUNDUP(('BOQ Twin Frame'!$D$7*1000/'BOQ Twin Frame'!$D$11),1))*1.5*(1+'BOQ Twin Frame'!$D$12)</f>
        <v>#DIV/0!</v>
      </c>
      <c r="J135" s="42" t="e">
        <f t="shared" ref="J135:J138" si="8">$I135*$E135</f>
        <v>#DIV/0!</v>
      </c>
      <c r="N135" s="68" t="s">
        <v>152</v>
      </c>
    </row>
    <row r="136" spans="1:14">
      <c r="A136" t="s">
        <v>37</v>
      </c>
      <c r="B136">
        <v>3000</v>
      </c>
      <c r="C136">
        <v>64</v>
      </c>
      <c r="E136">
        <v>1.47</v>
      </c>
      <c r="F136" s="49">
        <v>120</v>
      </c>
      <c r="G136" s="42" t="e">
        <f>(ROUNDUP(('BOQ Single Frame'!$D$7*1000/$B136),1))*(ROUNDUP(('BOQ Single Frame'!$D$6*1000/'BOQ Single Frame'!#REF!),1))*1.5*(1+'BOQ Single Frame'!$D$9)</f>
        <v>#REF!</v>
      </c>
      <c r="H136" s="42" t="e">
        <f t="shared" si="7"/>
        <v>#REF!</v>
      </c>
      <c r="I136" s="42" t="e">
        <f>(ROUNDUP((('BOQ Twin Frame'!$D$8*1000/$B136)),2)*2)*(ROUNDUP(('BOQ Twin Frame'!$D$7*1000/'BOQ Twin Frame'!$D$11),1))*1.5*(1+'BOQ Twin Frame'!$D$12)</f>
        <v>#DIV/0!</v>
      </c>
      <c r="J136" s="42" t="e">
        <f t="shared" si="8"/>
        <v>#DIV/0!</v>
      </c>
      <c r="N136" s="68" t="s">
        <v>153</v>
      </c>
    </row>
    <row r="137" spans="1:14">
      <c r="A137" t="s">
        <v>38</v>
      </c>
      <c r="B137">
        <v>3000</v>
      </c>
      <c r="C137">
        <v>76</v>
      </c>
      <c r="E137">
        <v>1.6</v>
      </c>
      <c r="F137" s="49">
        <v>130</v>
      </c>
      <c r="G137" s="42" t="e">
        <f>(ROUNDUP(('BOQ Single Frame'!$D$7*1000/$B137),1))*(ROUNDUP(('BOQ Single Frame'!$D$6*1000/'BOQ Single Frame'!#REF!),1))*1.5*(1+'BOQ Single Frame'!$D$9)</f>
        <v>#REF!</v>
      </c>
      <c r="H137" s="42" t="e">
        <f t="shared" si="7"/>
        <v>#REF!</v>
      </c>
      <c r="I137" s="42" t="e">
        <f>(ROUNDUP((('BOQ Twin Frame'!$D$8*1000/$B137)),2)*2)*(ROUNDUP(('BOQ Twin Frame'!$D$7*1000/'BOQ Twin Frame'!$D$11),1))*1.5*(1+'BOQ Twin Frame'!$D$12)</f>
        <v>#DIV/0!</v>
      </c>
      <c r="J137" s="42" t="e">
        <f t="shared" si="8"/>
        <v>#DIV/0!</v>
      </c>
      <c r="N137" s="68" t="s">
        <v>154</v>
      </c>
    </row>
    <row r="138" spans="1:14">
      <c r="A138" t="s">
        <v>39</v>
      </c>
      <c r="B138">
        <v>3000</v>
      </c>
      <c r="C138">
        <v>94</v>
      </c>
      <c r="E138">
        <v>1.82</v>
      </c>
      <c r="F138" s="49">
        <v>145</v>
      </c>
      <c r="G138" s="42" t="e">
        <f>(ROUNDUP(('BOQ Single Frame'!$D$7*1000/$B138),1))*(ROUNDUP(('BOQ Single Frame'!$D$6*1000/'BOQ Single Frame'!#REF!),1))*1.5*(1+'BOQ Single Frame'!$D$9)</f>
        <v>#REF!</v>
      </c>
      <c r="H138" s="42" t="e">
        <f t="shared" si="7"/>
        <v>#REF!</v>
      </c>
      <c r="I138" s="42" t="e">
        <f>(ROUNDUP((('BOQ Twin Frame'!$D$8*1000/$B138)),2)*2)*(ROUNDUP(('BOQ Twin Frame'!$D$7*1000/'BOQ Twin Frame'!$D$11),1))*1.5*(1+'BOQ Twin Frame'!$D$12)</f>
        <v>#DIV/0!</v>
      </c>
      <c r="J138" s="42" t="e">
        <f t="shared" si="8"/>
        <v>#DIV/0!</v>
      </c>
      <c r="N138" s="68" t="s">
        <v>155</v>
      </c>
    </row>
  </sheetData>
  <mergeCells count="1">
    <mergeCell ref="G1:K1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Sheet1</vt:lpstr>
      <vt:lpstr>BOQ Single Frame</vt:lpstr>
      <vt:lpstr>BOQ Twin Frame</vt:lpstr>
      <vt:lpstr>BOQ ShaftWall</vt:lpstr>
      <vt:lpstr>Data</vt:lpstr>
      <vt:lpstr>Bottom_Track</vt:lpstr>
      <vt:lpstr>C_Stud</vt:lpstr>
      <vt:lpstr>CStud</vt:lpstr>
      <vt:lpstr>Frame</vt:lpstr>
      <vt:lpstr>Frames</vt:lpstr>
      <vt:lpstr>'BOQ ShaftWall'!Print_Area</vt:lpstr>
      <vt:lpstr>Top_Track</vt:lpstr>
    </vt:vector>
  </TitlesOfParts>
  <Company>SAINT-GOBAIN 1.8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Thongsiri, Teerasak</dc:creator>
  <cp:lastModifiedBy>CHAROENRAT, Dhittita</cp:lastModifiedBy>
  <cp:lastPrinted>2017-06-09T10:42:16Z</cp:lastPrinted>
  <dcterms:created xsi:type="dcterms:W3CDTF">2016-05-06T08:28:40Z</dcterms:created>
  <dcterms:modified xsi:type="dcterms:W3CDTF">2020-04-07T08:10:00Z</dcterms:modified>
</cp:coreProperties>
</file>