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4570727\Desktop\Gyproc Ying\2020 - work\Take off for Update on website\"/>
    </mc:Choice>
  </mc:AlternateContent>
  <bookViews>
    <workbookView xWindow="0" yWindow="0" windowWidth="23040" windowHeight="9192" tabRatio="845" firstSheet="3" activeTab="3"/>
  </bookViews>
  <sheets>
    <sheet name="SuperWall@40" sheetId="48" state="hidden" r:id="rId1"/>
    <sheet name="ML50A-60x40x60cm" sheetId="64" state="hidden" r:id="rId2"/>
    <sheet name="ML 60x60" sheetId="44" state="hidden" r:id="rId3"/>
    <sheet name="T-bar" sheetId="80" r:id="rId4"/>
    <sheet name="Data" sheetId="98" r:id="rId5"/>
    <sheet name="SL40 80x40" sheetId="47" state="hidden" r:id="rId6"/>
  </sheets>
  <definedNames>
    <definedName name="_xlnm._FilterDatabase" localSheetId="3" hidden="1">'T-bar'!$A$3:$K$20</definedName>
    <definedName name="n?3_20_6\rr?0" hidden="1">#REF!</definedName>
    <definedName name="n?3_5_2\rr?0" hidden="1">#REF!</definedName>
    <definedName name="n?3_8_5\rr?0" hidden="1">#REF!</definedName>
  </definedNames>
  <calcPr calcId="162913"/>
</workbook>
</file>

<file path=xl/calcChain.xml><?xml version="1.0" encoding="utf-8"?>
<calcChain xmlns="http://schemas.openxmlformats.org/spreadsheetml/2006/main">
  <c r="H19" i="80" l="1"/>
  <c r="D5" i="80" l="1"/>
  <c r="D6" i="80" s="1"/>
  <c r="D12" i="80" l="1"/>
  <c r="D11" i="80"/>
  <c r="D10" i="80"/>
  <c r="H17" i="80" l="1"/>
  <c r="H14" i="80"/>
  <c r="H10" i="80"/>
  <c r="H12" i="80" l="1"/>
  <c r="A19" i="80" l="1"/>
  <c r="A17" i="80"/>
  <c r="A14" i="80"/>
  <c r="A12" i="80"/>
  <c r="G17" i="98" l="1"/>
  <c r="G18" i="98"/>
  <c r="G19" i="98"/>
  <c r="G20" i="98"/>
  <c r="G16" i="98"/>
  <c r="G13" i="98"/>
  <c r="G12" i="98"/>
  <c r="G11" i="98"/>
  <c r="G10" i="98"/>
  <c r="G9" i="98"/>
  <c r="G4" i="98"/>
  <c r="G5" i="98"/>
  <c r="G6" i="98"/>
  <c r="G2" i="98"/>
  <c r="G3" i="98"/>
  <c r="G35" i="98"/>
  <c r="E13" i="80" s="1"/>
  <c r="G36" i="98"/>
  <c r="G37" i="98"/>
  <c r="E12" i="80" l="1"/>
  <c r="E51" i="98"/>
  <c r="A10" i="80" l="1"/>
  <c r="A20" i="80"/>
  <c r="A18" i="80"/>
  <c r="A16" i="80"/>
  <c r="A15" i="80"/>
  <c r="A13" i="80"/>
  <c r="A11" i="80"/>
  <c r="H20" i="80" l="1"/>
  <c r="H18" i="80"/>
  <c r="H16" i="80"/>
  <c r="H15" i="80"/>
  <c r="H13" i="80"/>
  <c r="H11" i="80"/>
  <c r="E10" i="80"/>
  <c r="E52" i="98"/>
  <c r="C16" i="64"/>
  <c r="C19" i="64"/>
  <c r="C18" i="64"/>
  <c r="C15" i="64"/>
  <c r="C14" i="64"/>
  <c r="C13" i="64"/>
  <c r="C12" i="64"/>
  <c r="C9" i="64"/>
  <c r="C8" i="64"/>
  <c r="D22" i="64"/>
  <c r="D21" i="64"/>
  <c r="D20" i="64"/>
  <c r="D19" i="64"/>
  <c r="D18" i="64"/>
  <c r="F18" i="64"/>
  <c r="D17" i="64"/>
  <c r="D16" i="64"/>
  <c r="D15" i="64"/>
  <c r="F15" i="64"/>
  <c r="D14" i="64"/>
  <c r="F14" i="64"/>
  <c r="D13" i="64"/>
  <c r="F13" i="64"/>
  <c r="D12" i="64"/>
  <c r="D11" i="64"/>
  <c r="F11" i="64"/>
  <c r="C11" i="64"/>
  <c r="D10" i="64"/>
  <c r="C10" i="64"/>
  <c r="F10" i="64"/>
  <c r="D9" i="64"/>
  <c r="D8" i="64"/>
  <c r="B6" i="64"/>
  <c r="C20" i="64"/>
  <c r="C13" i="48"/>
  <c r="F13" i="48"/>
  <c r="C12" i="48"/>
  <c r="F12" i="48"/>
  <c r="D10" i="48"/>
  <c r="F10" i="48"/>
  <c r="C9" i="48"/>
  <c r="D8" i="48"/>
  <c r="F8" i="48"/>
  <c r="D9" i="48"/>
  <c r="F9" i="48"/>
  <c r="C15" i="48"/>
  <c r="C14" i="48"/>
  <c r="C11" i="48"/>
  <c r="C10" i="48"/>
  <c r="C8" i="48"/>
  <c r="B6" i="48"/>
  <c r="D15" i="48"/>
  <c r="D14" i="48"/>
  <c r="D12" i="48"/>
  <c r="D11" i="48"/>
  <c r="F11" i="48"/>
  <c r="D21" i="47"/>
  <c r="F21" i="47"/>
  <c r="D20" i="47"/>
  <c r="C20" i="47"/>
  <c r="F20" i="47"/>
  <c r="D19" i="47"/>
  <c r="D18" i="47"/>
  <c r="C18" i="47"/>
  <c r="F18" i="47"/>
  <c r="D17" i="47"/>
  <c r="C17" i="47"/>
  <c r="D16" i="47"/>
  <c r="C16" i="47"/>
  <c r="D15" i="47"/>
  <c r="C15" i="47"/>
  <c r="D14" i="47"/>
  <c r="C14" i="47"/>
  <c r="F14" i="47"/>
  <c r="D13" i="47"/>
  <c r="C13" i="47"/>
  <c r="D12" i="47"/>
  <c r="C12" i="47"/>
  <c r="D11" i="47"/>
  <c r="F11" i="47"/>
  <c r="C11" i="47"/>
  <c r="D10" i="47"/>
  <c r="C10" i="47"/>
  <c r="F10" i="47"/>
  <c r="D9" i="47"/>
  <c r="C9" i="47"/>
  <c r="D8" i="47"/>
  <c r="C8" i="47"/>
  <c r="B6" i="47"/>
  <c r="C21" i="47"/>
  <c r="C19" i="47"/>
  <c r="F19" i="47"/>
  <c r="C22" i="44"/>
  <c r="F22" i="44"/>
  <c r="C21" i="44"/>
  <c r="F21" i="44"/>
  <c r="C19" i="44"/>
  <c r="F19" i="44"/>
  <c r="C18" i="44"/>
  <c r="C17" i="44"/>
  <c r="F17" i="44"/>
  <c r="C16" i="44"/>
  <c r="F16" i="44"/>
  <c r="C15" i="44"/>
  <c r="C14" i="44"/>
  <c r="F14" i="44"/>
  <c r="C13" i="44"/>
  <c r="F13" i="44"/>
  <c r="C12" i="44"/>
  <c r="C11" i="44"/>
  <c r="C10" i="44"/>
  <c r="C9" i="44"/>
  <c r="F9" i="44"/>
  <c r="C8" i="44"/>
  <c r="F8" i="44"/>
  <c r="D11" i="44"/>
  <c r="F11" i="44"/>
  <c r="B6" i="44"/>
  <c r="C24" i="44"/>
  <c r="F10" i="44"/>
  <c r="F12" i="44"/>
  <c r="F18" i="44"/>
  <c r="C20" i="44"/>
  <c r="F20" i="44"/>
  <c r="F15" i="48"/>
  <c r="F14" i="48"/>
  <c r="F16" i="64"/>
  <c r="F19" i="64"/>
  <c r="F12" i="64"/>
  <c r="F8" i="64"/>
  <c r="F15" i="47"/>
  <c r="F21" i="48"/>
  <c r="F8" i="47"/>
  <c r="F13" i="47"/>
  <c r="C17" i="64"/>
  <c r="F17" i="64"/>
  <c r="C22" i="64"/>
  <c r="F22" i="64"/>
  <c r="C21" i="64"/>
  <c r="F21" i="64"/>
  <c r="F16" i="47"/>
  <c r="F20" i="64"/>
  <c r="F25" i="44"/>
  <c r="F9" i="47"/>
  <c r="F12" i="47"/>
  <c r="F17" i="47"/>
  <c r="F9" i="64"/>
  <c r="F25" i="64"/>
  <c r="F24" i="47"/>
  <c r="G32" i="98" l="1"/>
  <c r="E17" i="80" s="1"/>
  <c r="F17" i="80" s="1"/>
  <c r="G17" i="80" s="1"/>
  <c r="G29" i="98"/>
  <c r="E16" i="80" s="1"/>
  <c r="J16" i="80" s="1"/>
  <c r="G46" i="98"/>
  <c r="E18" i="80" s="1"/>
  <c r="G26" i="98"/>
  <c r="E15" i="80" s="1"/>
  <c r="F15" i="80" s="1"/>
  <c r="G15" i="80" s="1"/>
  <c r="G23" i="98"/>
  <c r="E14" i="80" s="1"/>
  <c r="F14" i="80" s="1"/>
  <c r="G14" i="80" s="1"/>
  <c r="E11" i="80"/>
  <c r="F11" i="80" s="1"/>
  <c r="G11" i="80" s="1"/>
  <c r="F10" i="80"/>
  <c r="G10" i="80" s="1"/>
  <c r="J10" i="80"/>
  <c r="F13" i="80"/>
  <c r="G13" i="80" s="1"/>
  <c r="G43" i="98" l="1"/>
  <c r="G41" i="98"/>
  <c r="G42" i="98"/>
  <c r="G40" i="98"/>
  <c r="F16" i="80"/>
  <c r="G16" i="80" s="1"/>
  <c r="J11" i="80"/>
  <c r="F12" i="80"/>
  <c r="G12" i="80" s="1"/>
  <c r="J12" i="80"/>
  <c r="J15" i="80"/>
  <c r="J14" i="80"/>
  <c r="F18" i="80"/>
  <c r="G18" i="80" s="1"/>
  <c r="J18" i="80"/>
  <c r="G49" i="98"/>
  <c r="G50" i="98"/>
  <c r="G52" i="98"/>
  <c r="G51" i="98"/>
  <c r="E20" i="80" s="1"/>
  <c r="J17" i="80"/>
  <c r="J13" i="80"/>
  <c r="E19" i="80" l="1"/>
  <c r="J19" i="80" s="1"/>
  <c r="F20" i="80"/>
  <c r="G20" i="80" s="1"/>
  <c r="J20" i="80"/>
  <c r="F19" i="80" l="1"/>
  <c r="G19" i="80" s="1"/>
  <c r="G23" i="80" s="1"/>
  <c r="G24" i="80" s="1"/>
  <c r="J23" i="80"/>
  <c r="J24" i="80" s="1"/>
</calcChain>
</file>

<file path=xl/comments1.xml><?xml version="1.0" encoding="utf-8"?>
<comments xmlns="http://schemas.openxmlformats.org/spreadsheetml/2006/main">
  <authors>
    <author>Thongsiri, Teerasak</author>
    <author>CHAROENRAT, Dhittita</author>
  </authors>
  <commentList>
    <comment ref="D7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ระยะต่ำสุดคือ 0.2 ม.
ระยะสูงสุดคือ 6 ม.</t>
        </r>
      </text>
    </comment>
    <comment ref="J8" authorId="1" shapeId="0">
      <text>
        <r>
          <rPr>
            <b/>
            <sz val="9"/>
            <color indexed="81"/>
            <rFont val="Tahoma"/>
            <charset val="222"/>
          </rPr>
          <t>CHAROENRAT, Dhittita:</t>
        </r>
        <r>
          <rPr>
            <sz val="9"/>
            <color indexed="81"/>
            <rFont val="Tahoma"/>
            <charset val="222"/>
          </rPr>
          <t xml:space="preserve">
Technical advisr at 5%</t>
        </r>
      </text>
    </comment>
  </commentList>
</comments>
</file>

<file path=xl/comments2.xml><?xml version="1.0" encoding="utf-8"?>
<comments xmlns="http://schemas.openxmlformats.org/spreadsheetml/2006/main">
  <authors>
    <author>Thongsiri, Teerasak</author>
  </authors>
  <commentList>
    <comment ref="A49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1200x15000/pc</t>
        </r>
      </text>
    </comment>
    <comment ref="A50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600x1200/pc</t>
        </r>
      </text>
    </comment>
    <comment ref="A51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1200x30,000/pc</t>
        </r>
      </text>
    </comment>
    <comment ref="A52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1200x10,000/pc</t>
        </r>
      </text>
    </comment>
  </commentList>
</comments>
</file>

<file path=xl/sharedStrings.xml><?xml version="1.0" encoding="utf-8"?>
<sst xmlns="http://schemas.openxmlformats.org/spreadsheetml/2006/main" count="397" uniqueCount="183">
  <si>
    <t>รายการ</t>
  </si>
  <si>
    <t xml:space="preserve">ขนาด </t>
  </si>
  <si>
    <t xml:space="preserve">รวมราคา </t>
  </si>
  <si>
    <t>ชิ้น</t>
  </si>
  <si>
    <t>กก.</t>
  </si>
  <si>
    <t>TOTAL</t>
  </si>
  <si>
    <t>รายการที่ถอดวัสดุ</t>
  </si>
  <si>
    <t>1.20 x 2.40</t>
  </si>
  <si>
    <r>
      <t>หมายเหตุ</t>
    </r>
    <r>
      <rPr>
        <sz val="14"/>
        <rFont val="AngsanaUPC"/>
        <family val="1"/>
      </rPr>
      <t xml:space="preserve"> ราคา ตาม Price List</t>
    </r>
  </si>
  <si>
    <t>Remark</t>
  </si>
  <si>
    <t>โดยให้ปัดเศษขึ้นทั้งหมด</t>
  </si>
  <si>
    <t>25 kg.</t>
  </si>
  <si>
    <t>25 m.</t>
  </si>
  <si>
    <t>ผ้าเทป( ม้วน )</t>
  </si>
  <si>
    <t>ใบประมาณการใช้วัสดุ</t>
  </si>
  <si>
    <t>ปูนฉาบ Joint Filler/Finish ( ถุง)</t>
  </si>
  <si>
    <t xml:space="preserve">พุกเหล็ก 6 มม. </t>
  </si>
  <si>
    <t>สกรูยิปซัม 25 มม.</t>
  </si>
  <si>
    <t>แผ่นยิปซัม คิดจากการติดแผ่น 2 ด้านแล้ว</t>
  </si>
  <si>
    <t xml:space="preserve">ตร.ม.      </t>
  </si>
  <si>
    <t xml:space="preserve"> ตร.ม.      </t>
  </si>
  <si>
    <t>ค่าประมาณการต่าง ๆ ที่แสดงไว้ ใช้สำหรับผลิตภัณฑ์ ของ บ.ไทยผลิตภัณฑ์ยิบซั่ม จำกัด  (มหาชน) เท่านั้น</t>
  </si>
  <si>
    <t>** ค่าประมาณตัวเลขการใช้งานทั้งหมด เป็นค่าโดยประมาณเท่านั้น หากต้องการละเอียดให้ถอดจากแบบก่อสร้างจริง</t>
  </si>
  <si>
    <t>*** ค่าประมาณตัวเลขการใช้งานทั้งหมด  เผื่อปริมาณการสูญเสียไว้ 5% โดยประมาณ</t>
  </si>
  <si>
    <t>*** บริษัท ฯ ขอสงวนสิทธิ์ ในการเปลี่ยนแปลงรายละเอียดต่าง ๆ ได้ โดยไม่ต้องแจ้งให้ทราบล่วงหน้า</t>
  </si>
  <si>
    <t>2.40 ม.</t>
  </si>
  <si>
    <t>ราคาตั้ง/หน่วย</t>
  </si>
  <si>
    <t>พื้นที่ติดตั้งโครงคร่าว</t>
  </si>
  <si>
    <t>ปริมาณที่ปรากฏได้เผื่อการสูญเสีย 5%</t>
  </si>
  <si>
    <t>จำนวน ที่ใช้</t>
  </si>
  <si>
    <t>4.00 ม.</t>
  </si>
  <si>
    <t>สกรู ยิปซัม 25 มม.</t>
  </si>
  <si>
    <t>พุกเหล็ก 6 มม.</t>
  </si>
  <si>
    <t>6 มม.</t>
  </si>
  <si>
    <t>พื้นที่ติดตั้งแผ่นยิปซัม (คิดติดเท่าโครงคร่าว)</t>
  </si>
  <si>
    <t>ตัวล้อคโครง SL9</t>
  </si>
  <si>
    <t>3.00 ม.</t>
  </si>
  <si>
    <t>ชุดหิ้วโครง ML1A</t>
  </si>
  <si>
    <t>ฉากเหล็ก 2 รู</t>
  </si>
  <si>
    <t>ตัวล้อคโครง ML9A</t>
  </si>
  <si>
    <t>ตัวต่อโครง ML3A</t>
  </si>
  <si>
    <t>สปริงปรับระดับ 4 มม.</t>
  </si>
  <si>
    <t>ลวดแขวน 4 มม. (ท่อน)</t>
  </si>
  <si>
    <t xml:space="preserve">ฉากริมฉาบเรียบ GA1  (เฉลี่ย จากห้องขนาดประมาณ 5 x 7 ม) </t>
  </si>
  <si>
    <t>หากกรณีผนังสูงกว่า 3.60 ให้บวกเพิ่มปริมาณ C-Stud อีก 0.13 ท่อน/ตร.ม. (กรณีต่อทาบ 0.60 ม.)</t>
  </si>
  <si>
    <t xml:space="preserve"> </t>
  </si>
  <si>
    <t>สกรู ยิงโครง 13 มม.</t>
  </si>
  <si>
    <t>ชุดหิ้วโครง ML1</t>
  </si>
  <si>
    <t>โครงคร่าวบน  SL40</t>
  </si>
  <si>
    <t>ค่าแรง</t>
  </si>
  <si>
    <t>/ตร.ม.</t>
  </si>
  <si>
    <t xml:space="preserve">ฉากริมฉาบเรียบ SA1  (เฉลี่ย จากห้องขนาดประมาณ 5 x 7 ม) </t>
  </si>
  <si>
    <t>แผ่นยิปซัม 9 มม. ธรรมดา (แผ่น)</t>
  </si>
  <si>
    <t>ส่วนลด %</t>
  </si>
  <si>
    <t>ส่วนลด  %</t>
  </si>
  <si>
    <t>โครงคร่าวบน  ML50A</t>
  </si>
  <si>
    <t>โครงคร่าว ล่าง ML50A</t>
  </si>
  <si>
    <t>แผ่น Gyptone BIG หนา 12.5 มม.  (แผ่น)</t>
  </si>
  <si>
    <t>โครงคร่าวล่าง  SL40</t>
  </si>
  <si>
    <t>ML50A ระยะโครง 0.60 x 0.60 ม. ติดแผ่น Gyptone BIG (ชุดแขวนที่ระยะ 1.20 เมตร)</t>
  </si>
  <si>
    <t>SL40 ติดตั้ง ระยะโครง 0.40 x 0.80ม. (ใช้ชุดแขวนระยะห่าง 0.80 เมตร)</t>
  </si>
  <si>
    <t>SuperWall Block C49 ติดตั้งทุกระยะห่าง 40 ซม. ไม่มีตัวซอย (2x13mm DuraLine)</t>
  </si>
  <si>
    <t>พื้นที่ติดตั้งแผ่นยิปซัม (ติดแผ่น 2 ชั้น 2 ด้านของโครงคร่าว)</t>
  </si>
  <si>
    <t>Track 51 S50</t>
  </si>
  <si>
    <r>
      <t>แผ่นยิปซัม 13</t>
    </r>
    <r>
      <rPr>
        <b/>
        <sz val="14"/>
        <rFont val="AngsanaUPC"/>
        <family val="1"/>
        <charset val="222"/>
      </rPr>
      <t xml:space="preserve"> มม. DuraLine</t>
    </r>
    <r>
      <rPr>
        <sz val="14"/>
        <rFont val="AngsanaUPC"/>
        <family val="1"/>
      </rPr>
      <t xml:space="preserve"> (ติดตั้ง 2 ชั้น 2 ด้านของโครงคร่าว)</t>
    </r>
  </si>
  <si>
    <t>สกรูยิปซัม 38 มม.</t>
  </si>
  <si>
    <t>Revised 13 Jan 2014</t>
  </si>
  <si>
    <t>ฝ้าเพดานฉาบเรียบ ML50A: แผ่นยิปซัม 9 มม. ชนิดธรรมดา / ติดตั้ง ระยะโครง 0.40 x 0.60 ม. ชุดแขวน 0.60 ม.</t>
  </si>
  <si>
    <t>Stud 49 S50 (Boxed Stud)</t>
  </si>
  <si>
    <t>ความกว้างของห้อง</t>
  </si>
  <si>
    <t>ความยาวของห้อง</t>
  </si>
  <si>
    <t>ค่าคลาดเคลื่อน</t>
  </si>
  <si>
    <t>ระยะระหว่างท้องพื้นถึงระดับฝ้า</t>
  </si>
  <si>
    <t>ม.</t>
  </si>
  <si>
    <t>จำนวนที่ใช้</t>
  </si>
  <si>
    <t>ตัว</t>
  </si>
  <si>
    <t>*** ค่าประมาณตัวเลขการใช้งานทั้งหมด  เผื่อปริมาณการสูญเสียไว้ตามค่าคลาดเคลื่อน โดยประมาณ</t>
  </si>
  <si>
    <t>จำนวนต่อ ตรม.</t>
  </si>
  <si>
    <t>ราคาต่อ ตรม.</t>
  </si>
  <si>
    <t>น้ำหนักรวม</t>
  </si>
  <si>
    <t>น้ำหนักต่อ ตรม.</t>
  </si>
  <si>
    <t>น้ำหนัก (กก.)</t>
  </si>
  <si>
    <t>ราคาทั้งสิ้น</t>
  </si>
  <si>
    <t>length</t>
  </si>
  <si>
    <t>width</t>
  </si>
  <si>
    <t>kg/unit</t>
  </si>
  <si>
    <t>usage</t>
  </si>
  <si>
    <t>Soffit cleat</t>
  </si>
  <si>
    <t>Rod joiner</t>
  </si>
  <si>
    <t>Rod-Joiner</t>
  </si>
  <si>
    <t>Rod</t>
  </si>
  <si>
    <t>Main channel</t>
  </si>
  <si>
    <t>Expansion bolt 6mm</t>
  </si>
  <si>
    <t>Board</t>
  </si>
  <si>
    <t>thick</t>
  </si>
  <si>
    <t>Expansion bolt</t>
  </si>
  <si>
    <t>Insulation</t>
  </si>
  <si>
    <t>Width</t>
  </si>
  <si>
    <t>Glass wool 24k</t>
  </si>
  <si>
    <t>Mineral wool 40k</t>
  </si>
  <si>
    <t>ISOVER Building Insulation 24K</t>
  </si>
  <si>
    <t>ISOVER Building Insulation 40K</t>
  </si>
  <si>
    <t>Suspension hook</t>
  </si>
  <si>
    <t>Steel rod 4mm</t>
  </si>
  <si>
    <t>แผ่น</t>
  </si>
  <si>
    <t>520088230000001</t>
  </si>
  <si>
    <t>520080050000001</t>
  </si>
  <si>
    <t>520080030000003</t>
  </si>
  <si>
    <t>520080010000001</t>
  </si>
  <si>
    <t>520080070000001</t>
  </si>
  <si>
    <t>520088260000009</t>
  </si>
  <si>
    <t>520088260000010</t>
  </si>
  <si>
    <t>รหัสสินค้า</t>
  </si>
  <si>
    <t>Pack</t>
  </si>
  <si>
    <t>โครงคร่าวหลัก</t>
  </si>
  <si>
    <t>ฉากริม</t>
  </si>
  <si>
    <t>ชุดหิ้วโครง</t>
  </si>
  <si>
    <t>ฉากเหล็กสองรู</t>
  </si>
  <si>
    <t>สปริงสแตนเลส</t>
  </si>
  <si>
    <t>โครงลวด</t>
  </si>
  <si>
    <t>พุกเหล็ก</t>
  </si>
  <si>
    <t>ฉนวน</t>
  </si>
  <si>
    <t>โครงคร่าวซอย 60</t>
  </si>
  <si>
    <t>โครงคร่าวซอย 120</t>
  </si>
  <si>
    <t>แผ่นยิปซัมทีบาร์</t>
  </si>
  <si>
    <t>24x32</t>
  </si>
  <si>
    <t>530010010100001</t>
  </si>
  <si>
    <t>530010010100002</t>
  </si>
  <si>
    <t>24x38</t>
  </si>
  <si>
    <t>530020020100001</t>
  </si>
  <si>
    <t>530020020100002</t>
  </si>
  <si>
    <t>15x38</t>
  </si>
  <si>
    <t>530050050100001</t>
  </si>
  <si>
    <t>GypFrame Grid 32C24 600</t>
  </si>
  <si>
    <t>Sub channel 600</t>
  </si>
  <si>
    <t>Sub channel 1200</t>
  </si>
  <si>
    <t>530010010200001</t>
  </si>
  <si>
    <t>530010010200002</t>
  </si>
  <si>
    <t>GypFrame Grid 38C24 600</t>
  </si>
  <si>
    <t>15x28</t>
  </si>
  <si>
    <t>530020020200001</t>
  </si>
  <si>
    <t>530020020200002</t>
  </si>
  <si>
    <t>530050050200001</t>
  </si>
  <si>
    <t>530010010200003</t>
  </si>
  <si>
    <t>530010010200004</t>
  </si>
  <si>
    <t>530020020200003</t>
  </si>
  <si>
    <t>530020020200004</t>
  </si>
  <si>
    <t>530050050200002</t>
  </si>
  <si>
    <t>Wall angle</t>
  </si>
  <si>
    <t>24x24</t>
  </si>
  <si>
    <t>Grid wall angle 24</t>
  </si>
  <si>
    <t>Grid wall angle 15</t>
  </si>
  <si>
    <t>Grid M-Bar angle</t>
  </si>
  <si>
    <t>19x22</t>
  </si>
  <si>
    <t>19x9x9x19</t>
  </si>
  <si>
    <t>530050050300001</t>
  </si>
  <si>
    <t>530050050400001</t>
  </si>
  <si>
    <t>530010010300001</t>
  </si>
  <si>
    <t>T-Bar suspension hook</t>
  </si>
  <si>
    <t>Gyptone Activ'Air Line 4 10mm 600 Reveal</t>
  </si>
  <si>
    <t>Gyptone Activ'Air Point 11 10mm 600 Reveal</t>
  </si>
  <si>
    <t>Gyptone Activ'Air Quarttro 20 10mm 600 Reveal</t>
  </si>
  <si>
    <t>Gyptone Activ'Air Base 31 10mm 600 Reveal</t>
  </si>
  <si>
    <t>220050040012502</t>
  </si>
  <si>
    <t>220010040000002</t>
  </si>
  <si>
    <t>220050040012503</t>
  </si>
  <si>
    <t>220070040012502</t>
  </si>
  <si>
    <t>3.60 ม.</t>
  </si>
  <si>
    <t>GypFrame Grid 32C24 1200</t>
  </si>
  <si>
    <t>GypFrame Grid 38C24 1200</t>
  </si>
  <si>
    <t>GypFrame Grid 32C24 605</t>
  </si>
  <si>
    <t>GypFrame Grid 38C24 605</t>
  </si>
  <si>
    <t>GypFrame Grid 38C15 600</t>
  </si>
  <si>
    <t>GypFrame Grid 32C24 1210</t>
  </si>
  <si>
    <t>GypFrame Grid 38C24 1210</t>
  </si>
  <si>
    <t>GypFrame Grid 38C15 1200</t>
  </si>
  <si>
    <t>GypFrame Grid 32M24 3600</t>
  </si>
  <si>
    <t>GypFrame Grid 32M24 3630</t>
  </si>
  <si>
    <t>GypFrame Grid 38M24 3600</t>
  </si>
  <si>
    <t>GypFrame Grid 38M24 3630</t>
  </si>
  <si>
    <t>GypFrame Grid 38M15 3600</t>
  </si>
  <si>
    <t>Revised 7 April 2020</t>
  </si>
  <si>
    <t>ฝ้าเพดานทีบาร์ GRID 38T15 วางแผ่น Gyptone ขอบบังไบ ขนาด 600มม. x 600มม.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</si>
</sst>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0.##\ \ม."/>
    <numFmt numFmtId="165" formatCode="##0.###\ \ม."/>
    <numFmt numFmtId="166" formatCode="#0.##\ \ม."/>
  </numFmts>
  <fonts count="38" x14ac:knownFonts="1">
    <font>
      <sz val="14"/>
      <name val="AngsanaUPC"/>
    </font>
    <font>
      <b/>
      <sz val="14"/>
      <name val="AngsanaUPC"/>
      <family val="1"/>
    </font>
    <font>
      <sz val="14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b/>
      <u/>
      <sz val="14"/>
      <name val="AngsanaUPC"/>
      <family val="1"/>
    </font>
    <font>
      <u/>
      <sz val="14"/>
      <name val="AngsanaUPC"/>
      <family val="1"/>
    </font>
    <font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i/>
      <sz val="14"/>
      <name val="Cordia New"/>
      <family val="2"/>
      <charset val="222"/>
    </font>
    <font>
      <b/>
      <i/>
      <sz val="14"/>
      <name val="Cordia New"/>
      <family val="2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indexed="10"/>
      <name val="AngsanaUPC"/>
      <family val="1"/>
      <charset val="222"/>
    </font>
    <font>
      <b/>
      <sz val="22"/>
      <name val="AngsanaUPC"/>
      <family val="1"/>
      <charset val="222"/>
    </font>
    <font>
      <sz val="14"/>
      <color indexed="10"/>
      <name val="AngsanaUPC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10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62"/>
      <name val="Tahoma"/>
      <family val="2"/>
      <charset val="222"/>
    </font>
    <font>
      <b/>
      <sz val="13"/>
      <color indexed="62"/>
      <name val="Tahoma"/>
      <family val="2"/>
      <charset val="222"/>
    </font>
    <font>
      <b/>
      <sz val="11"/>
      <color indexed="62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indexed="19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62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ngsanaUPC"/>
      <family val="1"/>
    </font>
    <font>
      <b/>
      <sz val="9"/>
      <color indexed="81"/>
      <name val="Tahoma"/>
      <charset val="222"/>
    </font>
    <font>
      <sz val="9"/>
      <color indexed="81"/>
      <name val="Tahoma"/>
      <charset val="222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808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3" fillId="0" borderId="0"/>
    <xf numFmtId="0" fontId="21" fillId="17" borderId="2" applyNumberFormat="0" applyAlignment="0" applyProtection="0"/>
    <xf numFmtId="0" fontId="28" fillId="0" borderId="6" applyNumberFormat="0" applyFill="0" applyAlignment="0" applyProtection="0"/>
    <xf numFmtId="0" fontId="19" fillId="15" borderId="0" applyNumberFormat="0" applyBorder="0" applyAlignment="0" applyProtection="0"/>
    <xf numFmtId="0" fontId="30" fillId="16" borderId="8" applyNumberFormat="0" applyAlignment="0" applyProtection="0"/>
    <xf numFmtId="0" fontId="20" fillId="16" borderId="1" applyNumberFormat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7" fillId="7" borderId="1" applyNumberFormat="0" applyAlignment="0" applyProtection="0"/>
    <xf numFmtId="0" fontId="29" fillId="7" borderId="0" applyNumberFormat="0" applyBorder="0" applyAlignment="0" applyProtection="0"/>
    <xf numFmtId="0" fontId="32" fillId="0" borderId="9" applyNumberFormat="0" applyFill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4" borderId="7" applyNumberFormat="0" applyFont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10" xfId="0" applyBorder="1"/>
    <xf numFmtId="0" fontId="4" fillId="0" borderId="0" xfId="0" applyFont="1" applyAlignment="1">
      <alignment horizontal="centerContinuous"/>
    </xf>
    <xf numFmtId="0" fontId="0" fillId="0" borderId="11" xfId="0" applyBorder="1"/>
    <xf numFmtId="0" fontId="0" fillId="0" borderId="0" xfId="0" applyBorder="1"/>
    <xf numFmtId="4" fontId="0" fillId="0" borderId="10" xfId="0" applyNumberFormat="1" applyBorder="1" applyAlignment="1">
      <alignment horizontal="center"/>
    </xf>
    <xf numFmtId="0" fontId="0" fillId="0" borderId="0" xfId="0" applyBorder="1" applyAlignment="1">
      <alignment horizontal="centerContinuous"/>
    </xf>
    <xf numFmtId="4" fontId="0" fillId="0" borderId="12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3" xfId="0" applyBorder="1"/>
    <xf numFmtId="4" fontId="0" fillId="0" borderId="14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0" fillId="0" borderId="14" xfId="0" applyNumberFormat="1" applyBorder="1"/>
    <xf numFmtId="0" fontId="0" fillId="0" borderId="15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7" fillId="0" borderId="16" xfId="0" applyFont="1" applyBorder="1" applyAlignment="1">
      <alignment horizontal="centerContinuous"/>
    </xf>
    <xf numFmtId="0" fontId="7" fillId="0" borderId="17" xfId="0" applyFont="1" applyBorder="1" applyAlignment="1">
      <alignment horizontal="center"/>
    </xf>
    <xf numFmtId="15" fontId="4" fillId="0" borderId="0" xfId="0" applyNumberFormat="1" applyFont="1" applyAlignment="1">
      <alignment horizontal="centerContinuous"/>
    </xf>
    <xf numFmtId="2" fontId="9" fillId="0" borderId="0" xfId="0" applyNumberFormat="1" applyFont="1" applyBorder="1"/>
    <xf numFmtId="2" fontId="10" fillId="0" borderId="0" xfId="0" applyNumberFormat="1" applyFont="1" applyBorder="1" applyAlignment="1">
      <alignment vertical="center"/>
    </xf>
    <xf numFmtId="0" fontId="5" fillId="18" borderId="15" xfId="0" applyFont="1" applyFill="1" applyBorder="1"/>
    <xf numFmtId="0" fontId="0" fillId="18" borderId="0" xfId="0" applyFill="1" applyBorder="1"/>
    <xf numFmtId="0" fontId="12" fillId="18" borderId="0" xfId="0" applyFont="1" applyFill="1" applyAlignment="1">
      <alignment horizontal="center"/>
    </xf>
    <xf numFmtId="0" fontId="0" fillId="18" borderId="15" xfId="0" applyFill="1" applyBorder="1"/>
    <xf numFmtId="0" fontId="0" fillId="18" borderId="0" xfId="0" applyFill="1" applyBorder="1" applyAlignment="1">
      <alignment horizontal="left"/>
    </xf>
    <xf numFmtId="0" fontId="0" fillId="18" borderId="0" xfId="0" applyFill="1" applyAlignment="1"/>
    <xf numFmtId="0" fontId="3" fillId="18" borderId="0" xfId="0" applyFont="1" applyFill="1" applyBorder="1"/>
    <xf numFmtId="0" fontId="2" fillId="0" borderId="18" xfId="0" applyFont="1" applyFill="1" applyBorder="1" applyAlignment="1"/>
    <xf numFmtId="0" fontId="11" fillId="18" borderId="0" xfId="0" applyFont="1" applyFill="1" applyAlignment="1">
      <alignment horizontal="right"/>
    </xf>
    <xf numFmtId="0" fontId="0" fillId="0" borderId="17" xfId="0" applyBorder="1" applyAlignment="1">
      <alignment horizontal="center"/>
    </xf>
    <xf numFmtId="0" fontId="1" fillId="19" borderId="16" xfId="0" applyFont="1" applyFill="1" applyBorder="1" applyAlignment="1">
      <alignment horizontal="centerContinuous"/>
    </xf>
    <xf numFmtId="0" fontId="7" fillId="19" borderId="16" xfId="0" applyFont="1" applyFill="1" applyBorder="1" applyAlignment="1">
      <alignment horizontal="centerContinuous"/>
    </xf>
    <xf numFmtId="0" fontId="1" fillId="19" borderId="16" xfId="0" applyFont="1" applyFill="1" applyBorder="1" applyAlignment="1"/>
    <xf numFmtId="0" fontId="0" fillId="19" borderId="16" xfId="0" applyFill="1" applyBorder="1" applyAlignment="1">
      <alignment horizontal="centerContinuous"/>
    </xf>
    <xf numFmtId="0" fontId="2" fillId="19" borderId="16" xfId="0" applyFont="1" applyFill="1" applyBorder="1" applyAlignment="1"/>
    <xf numFmtId="0" fontId="0" fillId="19" borderId="14" xfId="0" applyFill="1" applyBorder="1" applyAlignment="1">
      <alignment horizontal="centerContinuous"/>
    </xf>
    <xf numFmtId="0" fontId="0" fillId="0" borderId="19" xfId="0" applyBorder="1"/>
    <xf numFmtId="0" fontId="8" fillId="0" borderId="16" xfId="0" applyFont="1" applyBorder="1" applyAlignment="1">
      <alignment horizontal="centerContinuous"/>
    </xf>
    <xf numFmtId="0" fontId="8" fillId="19" borderId="14" xfId="0" applyFont="1" applyFill="1" applyBorder="1" applyAlignment="1">
      <alignment horizontal="centerContinuous"/>
    </xf>
    <xf numFmtId="0" fontId="0" fillId="19" borderId="16" xfId="0" applyFill="1" applyBorder="1" applyAlignment="1">
      <alignment horizontal="left" wrapText="1"/>
    </xf>
    <xf numFmtId="0" fontId="15" fillId="18" borderId="0" xfId="0" applyFont="1" applyFill="1" applyBorder="1" applyAlignment="1">
      <alignment horizontal="center"/>
    </xf>
    <xf numFmtId="0" fontId="1" fillId="20" borderId="20" xfId="0" applyFont="1" applyFill="1" applyBorder="1" applyAlignment="1">
      <alignment horizontal="centerContinuous"/>
    </xf>
    <xf numFmtId="0" fontId="1" fillId="20" borderId="20" xfId="0" applyFont="1" applyFill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0" fillId="0" borderId="14" xfId="0" applyBorder="1"/>
    <xf numFmtId="0" fontId="14" fillId="21" borderId="0" xfId="0" applyFont="1" applyFill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21" xfId="0" applyBorder="1"/>
    <xf numFmtId="0" fontId="16" fillId="0" borderId="10" xfId="0" applyFont="1" applyBorder="1"/>
    <xf numFmtId="4" fontId="16" fillId="0" borderId="10" xfId="0" applyNumberFormat="1" applyFont="1" applyBorder="1" applyAlignment="1">
      <alignment horizontal="center"/>
    </xf>
    <xf numFmtId="4" fontId="16" fillId="0" borderId="12" xfId="0" applyNumberFormat="1" applyFont="1" applyBorder="1" applyAlignment="1">
      <alignment horizontal="center"/>
    </xf>
    <xf numFmtId="9" fontId="16" fillId="0" borderId="13" xfId="0" applyNumberFormat="1" applyFont="1" applyBorder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0" fontId="12" fillId="18" borderId="0" xfId="0" applyFont="1" applyFill="1" applyAlignment="1">
      <alignment horizontal="right"/>
    </xf>
    <xf numFmtId="0" fontId="12" fillId="22" borderId="0" xfId="0" applyFont="1" applyFill="1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0" fontId="11" fillId="18" borderId="0" xfId="0" applyFont="1" applyFill="1" applyAlignment="1">
      <alignment horizontal="left"/>
    </xf>
    <xf numFmtId="0" fontId="0" fillId="23" borderId="0" xfId="0" applyFill="1" applyAlignment="1">
      <alignment horizontal="right"/>
    </xf>
    <xf numFmtId="0" fontId="15" fillId="22" borderId="0" xfId="0" applyFon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1" fillId="20" borderId="20" xfId="0" applyFont="1" applyFill="1" applyBorder="1" applyAlignment="1">
      <alignment horizontal="left"/>
    </xf>
    <xf numFmtId="2" fontId="1" fillId="0" borderId="0" xfId="0" applyNumberFormat="1" applyFont="1" applyAlignment="1">
      <alignment horizontal="center"/>
    </xf>
    <xf numFmtId="0" fontId="0" fillId="0" borderId="23" xfId="0" applyBorder="1"/>
    <xf numFmtId="0" fontId="0" fillId="0" borderId="26" xfId="0" applyBorder="1"/>
    <xf numFmtId="0" fontId="0" fillId="24" borderId="0" xfId="0" applyFill="1"/>
    <xf numFmtId="0" fontId="0" fillId="25" borderId="0" xfId="0" applyFill="1"/>
    <xf numFmtId="0" fontId="35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10" xfId="0" applyNumberFormat="1" applyFont="1" applyBorder="1" applyAlignment="1">
      <alignment horizontal="center"/>
    </xf>
    <xf numFmtId="0" fontId="2" fillId="0" borderId="24" xfId="0" applyFont="1" applyBorder="1"/>
    <xf numFmtId="0" fontId="0" fillId="0" borderId="19" xfId="0" applyBorder="1" applyAlignment="1">
      <alignment horizontal="center"/>
    </xf>
    <xf numFmtId="2" fontId="0" fillId="25" borderId="0" xfId="0" applyNumberFormat="1" applyFill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2" fontId="0" fillId="0" borderId="3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9" fontId="0" fillId="0" borderId="30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9" fontId="0" fillId="0" borderId="0" xfId="0" applyNumberFormat="1"/>
    <xf numFmtId="49" fontId="2" fillId="0" borderId="0" xfId="0" applyNumberFormat="1" applyFont="1"/>
    <xf numFmtId="0" fontId="0" fillId="0" borderId="16" xfId="0" applyBorder="1"/>
    <xf numFmtId="0" fontId="0" fillId="26" borderId="20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18" borderId="0" xfId="0" applyFill="1" applyBorder="1" applyAlignment="1">
      <alignment horizontal="left"/>
    </xf>
    <xf numFmtId="0" fontId="0" fillId="23" borderId="0" xfId="0" applyFill="1"/>
    <xf numFmtId="0" fontId="0" fillId="18" borderId="0" xfId="0" applyFill="1" applyBorder="1" applyAlignment="1"/>
    <xf numFmtId="0" fontId="14" fillId="23" borderId="0" xfId="0" applyFont="1" applyFill="1" applyBorder="1" applyAlignment="1">
      <alignment horizontal="center"/>
    </xf>
    <xf numFmtId="9" fontId="2" fillId="22" borderId="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31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19" borderId="16" xfId="0" applyFill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19" borderId="16" xfId="0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20" borderId="32" xfId="0" applyFont="1" applyFill="1" applyBorder="1" applyAlignment="1">
      <alignment horizontal="center"/>
    </xf>
    <xf numFmtId="0" fontId="1" fillId="20" borderId="33" xfId="0" applyFont="1" applyFill="1" applyBorder="1" applyAlignment="1">
      <alignment horizontal="center"/>
    </xf>
    <xf numFmtId="0" fontId="0" fillId="18" borderId="0" xfId="0" applyFill="1" applyBorder="1" applyAlignment="1">
      <alignment horizontal="left"/>
    </xf>
    <xf numFmtId="0" fontId="5" fillId="18" borderId="0" xfId="0" applyFont="1" applyFill="1" applyBorder="1" applyAlignment="1">
      <alignment horizontal="left"/>
    </xf>
    <xf numFmtId="0" fontId="0" fillId="23" borderId="16" xfId="0" applyFill="1" applyBorder="1" applyAlignment="1">
      <alignment horizontal="center"/>
    </xf>
    <xf numFmtId="0" fontId="0" fillId="23" borderId="22" xfId="0" applyFill="1" applyBorder="1"/>
    <xf numFmtId="0" fontId="2" fillId="23" borderId="27" xfId="0" applyFont="1" applyFill="1" applyBorder="1"/>
    <xf numFmtId="166" fontId="0" fillId="23" borderId="10" xfId="0" applyNumberFormat="1" applyFill="1" applyBorder="1" applyAlignment="1">
      <alignment horizontal="center"/>
    </xf>
    <xf numFmtId="2" fontId="0" fillId="23" borderId="10" xfId="0" applyNumberFormat="1" applyFill="1" applyBorder="1" applyAlignment="1">
      <alignment horizontal="center"/>
    </xf>
    <xf numFmtId="2" fontId="0" fillId="23" borderId="12" xfId="0" applyNumberFormat="1" applyFill="1" applyBorder="1" applyAlignment="1">
      <alignment horizontal="center"/>
    </xf>
    <xf numFmtId="4" fontId="0" fillId="23" borderId="12" xfId="0" applyNumberFormat="1" applyFill="1" applyBorder="1" applyAlignment="1">
      <alignment horizontal="center"/>
    </xf>
    <xf numFmtId="9" fontId="0" fillId="23" borderId="12" xfId="0" applyNumberFormat="1" applyFill="1" applyBorder="1" applyAlignment="1">
      <alignment horizontal="center"/>
    </xf>
    <xf numFmtId="4" fontId="0" fillId="23" borderId="13" xfId="0" applyNumberFormat="1" applyFill="1" applyBorder="1" applyAlignment="1">
      <alignment horizontal="center"/>
    </xf>
    <xf numFmtId="0" fontId="7" fillId="23" borderId="31" xfId="0" applyFont="1" applyFill="1" applyBorder="1" applyAlignment="1">
      <alignment vertical="center" wrapText="1" shrinkToFit="1"/>
    </xf>
    <xf numFmtId="0" fontId="0" fillId="23" borderId="23" xfId="0" applyFill="1" applyBorder="1"/>
    <xf numFmtId="0" fontId="0" fillId="23" borderId="19" xfId="0" applyFill="1" applyBorder="1"/>
    <xf numFmtId="165" fontId="0" fillId="23" borderId="10" xfId="0" applyNumberFormat="1" applyFill="1" applyBorder="1" applyAlignment="1">
      <alignment horizontal="center"/>
    </xf>
    <xf numFmtId="0" fontId="7" fillId="23" borderId="16" xfId="0" applyFont="1" applyFill="1" applyBorder="1" applyAlignment="1">
      <alignment horizontal="center" vertical="center" wrapText="1" shrinkToFit="1"/>
    </xf>
    <xf numFmtId="164" fontId="0" fillId="23" borderId="10" xfId="0" applyNumberFormat="1" applyFill="1" applyBorder="1" applyAlignment="1">
      <alignment horizontal="center"/>
    </xf>
    <xf numFmtId="0" fontId="7" fillId="23" borderId="16" xfId="0" applyFont="1" applyFill="1" applyBorder="1" applyAlignment="1">
      <alignment vertical="center" wrapText="1" shrinkToFit="1"/>
    </xf>
    <xf numFmtId="0" fontId="0" fillId="23" borderId="24" xfId="0" applyFill="1" applyBorder="1"/>
    <xf numFmtId="4" fontId="0" fillId="23" borderId="10" xfId="0" applyNumberFormat="1" applyFill="1" applyBorder="1" applyAlignment="1">
      <alignment horizontal="center"/>
    </xf>
    <xf numFmtId="0" fontId="0" fillId="23" borderId="16" xfId="0" applyFill="1" applyBorder="1" applyAlignment="1">
      <alignment horizontal="left" wrapText="1"/>
    </xf>
    <xf numFmtId="0" fontId="0" fillId="23" borderId="25" xfId="0" applyFill="1" applyBorder="1"/>
    <xf numFmtId="0" fontId="7" fillId="23" borderId="16" xfId="0" applyFont="1" applyFill="1" applyBorder="1" applyAlignment="1">
      <alignment horizontal="centerContinuous"/>
    </xf>
  </cellXfs>
  <cellStyles count="43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Normal" xfId="0" builtinId="0"/>
    <cellStyle name="Normal 2" xfId="19"/>
    <cellStyle name="การคำนวณ" xfId="24"/>
    <cellStyle name="ข้อความเตือน" xfId="25"/>
    <cellStyle name="ข้อความอธิบาย" xfId="26"/>
    <cellStyle name="ชื่อเรื่อง" xfId="27"/>
    <cellStyle name="เซลล์ตรวจสอบ" xfId="20"/>
    <cellStyle name="เซลล์ที่มีการเชื่อมโยง" xfId="21"/>
    <cellStyle name="ดี" xfId="28"/>
    <cellStyle name="ป้อนค่า" xfId="29"/>
    <cellStyle name="ปานกลาง" xfId="30"/>
    <cellStyle name="ผลรวม" xfId="31"/>
    <cellStyle name="แย่" xfId="22"/>
    <cellStyle name="ส่วนที่ถูกเน้น1" xfId="32"/>
    <cellStyle name="ส่วนที่ถูกเน้น2" xfId="33"/>
    <cellStyle name="ส่วนที่ถูกเน้น3" xfId="34"/>
    <cellStyle name="ส่วนที่ถูกเน้น4" xfId="35"/>
    <cellStyle name="ส่วนที่ถูกเน้น5" xfId="36"/>
    <cellStyle name="ส่วนที่ถูกเน้น6" xfId="37"/>
    <cellStyle name="แสดงผล" xfId="23"/>
    <cellStyle name="หมายเหตุ" xfId="38"/>
    <cellStyle name="หัวเรื่อง 1" xfId="39"/>
    <cellStyle name="หัวเรื่อง 2" xfId="40"/>
    <cellStyle name="หัวเรื่อง 3" xfId="41"/>
    <cellStyle name="หัวเรื่อง 4" xfId="4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2247900</xdr:colOff>
      <xdr:row>3</xdr:row>
      <xdr:rowOff>66675</xdr:rowOff>
    </xdr:from>
    <xdr:to>
      <xdr:col>0</xdr:col>
      <xdr:colOff>3316792</xdr:colOff>
      <xdr:row>4</xdr:row>
      <xdr:rowOff>188672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247900" y="1095375"/>
          <a:ext cx="1066800" cy="419100"/>
        </a:xfrm>
        <a:prstGeom prst="wedgeRoundRectCallout">
          <a:avLst>
            <a:gd name="adj1" fmla="val 76787"/>
            <a:gd name="adj2" fmla="val 54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2005965</xdr:colOff>
      <xdr:row>3</xdr:row>
      <xdr:rowOff>9525</xdr:rowOff>
    </xdr:from>
    <xdr:to>
      <xdr:col>0</xdr:col>
      <xdr:colOff>3074620</xdr:colOff>
      <xdr:row>4</xdr:row>
      <xdr:rowOff>133350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09775" y="1038225"/>
          <a:ext cx="1066800" cy="419100"/>
        </a:xfrm>
        <a:prstGeom prst="wedgeRoundRectCallout">
          <a:avLst>
            <a:gd name="adj1" fmla="val 78574"/>
            <a:gd name="adj2" fmla="val 5909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365760</xdr:colOff>
      <xdr:row>8</xdr:row>
      <xdr:rowOff>125730</xdr:rowOff>
    </xdr:from>
    <xdr:to>
      <xdr:col>6</xdr:col>
      <xdr:colOff>2369915</xdr:colOff>
      <xdr:row>11</xdr:row>
      <xdr:rowOff>251460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7620000" y="2800350"/>
          <a:ext cx="2000250" cy="933450"/>
        </a:xfrm>
        <a:prstGeom prst="wedgeRoundRectCallout">
          <a:avLst>
            <a:gd name="adj1" fmla="val -68569"/>
            <a:gd name="adj2" fmla="val -5713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57150</xdr:rowOff>
    </xdr:from>
    <xdr:to>
      <xdr:col>0</xdr:col>
      <xdr:colOff>1514475</xdr:colOff>
      <xdr:row>1</xdr:row>
      <xdr:rowOff>247650</xdr:rowOff>
    </xdr:to>
    <xdr:pic>
      <xdr:nvPicPr>
        <xdr:cNvPr id="55647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1920240</xdr:colOff>
      <xdr:row>3</xdr:row>
      <xdr:rowOff>9525</xdr:rowOff>
    </xdr:from>
    <xdr:to>
      <xdr:col>0</xdr:col>
      <xdr:colOff>2979928</xdr:colOff>
      <xdr:row>4</xdr:row>
      <xdr:rowOff>133350</xdr:rowOff>
    </xdr:to>
    <xdr:sp macro="" textlink="">
      <xdr:nvSpPr>
        <xdr:cNvPr id="31745" name="AutoShape 1"/>
        <xdr:cNvSpPr>
          <a:spLocks noChangeArrowheads="1"/>
        </xdr:cNvSpPr>
      </xdr:nvSpPr>
      <xdr:spPr bwMode="auto">
        <a:xfrm>
          <a:off x="1914525" y="1038225"/>
          <a:ext cx="1066800" cy="419100"/>
        </a:xfrm>
        <a:prstGeom prst="wedgeRoundRectCallout">
          <a:avLst>
            <a:gd name="adj1" fmla="val 79467"/>
            <a:gd name="adj2" fmla="val 56819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394335</xdr:colOff>
      <xdr:row>8</xdr:row>
      <xdr:rowOff>175260</xdr:rowOff>
    </xdr:from>
    <xdr:to>
      <xdr:col>6</xdr:col>
      <xdr:colOff>2398544</xdr:colOff>
      <xdr:row>12</xdr:row>
      <xdr:rowOff>47634</xdr:rowOff>
    </xdr:to>
    <xdr:sp macro="" textlink="">
      <xdr:nvSpPr>
        <xdr:cNvPr id="31747" name="AutoShape 3"/>
        <xdr:cNvSpPr>
          <a:spLocks noChangeArrowheads="1"/>
        </xdr:cNvSpPr>
      </xdr:nvSpPr>
      <xdr:spPr bwMode="auto">
        <a:xfrm>
          <a:off x="7153275" y="2857500"/>
          <a:ext cx="2000250" cy="666750"/>
        </a:xfrm>
        <a:prstGeom prst="wedgeRoundRectCallout">
          <a:avLst>
            <a:gd name="adj1" fmla="val -69523"/>
            <a:gd name="adj2" fmla="val -20000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1148715</xdr:colOff>
      <xdr:row>2</xdr:row>
      <xdr:rowOff>428624</xdr:rowOff>
    </xdr:from>
    <xdr:to>
      <xdr:col>10</xdr:col>
      <xdr:colOff>2390775</xdr:colOff>
      <xdr:row>5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530840" y="1019174"/>
          <a:ext cx="1242060" cy="990601"/>
        </a:xfrm>
        <a:prstGeom prst="wedgeRoundRectCallout">
          <a:avLst>
            <a:gd name="adj1" fmla="val -136937"/>
            <a:gd name="adj2" fmla="val -6738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ใส่ความกว้าง</a:t>
          </a: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  <a:p>
          <a:pPr algn="ctr" rtl="0">
            <a:defRPr sz="1000"/>
          </a:pP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ความยาวของห้องมีผลต่อจำนวนโครง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 editAs="oneCell">
    <xdr:from>
      <xdr:col>1</xdr:col>
      <xdr:colOff>57150</xdr:colOff>
      <xdr:row>0</xdr:row>
      <xdr:rowOff>57150</xdr:rowOff>
    </xdr:from>
    <xdr:to>
      <xdr:col>2</xdr:col>
      <xdr:colOff>523875</xdr:colOff>
      <xdr:row>1</xdr:row>
      <xdr:rowOff>247650</xdr:rowOff>
    </xdr:to>
    <xdr:pic>
      <xdr:nvPicPr>
        <xdr:cNvPr id="71795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1931670</xdr:colOff>
      <xdr:row>3</xdr:row>
      <xdr:rowOff>57150</xdr:rowOff>
    </xdr:from>
    <xdr:to>
      <xdr:col>0</xdr:col>
      <xdr:colOff>2998470</xdr:colOff>
      <xdr:row>4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933575" y="1085850"/>
          <a:ext cx="1066800" cy="419100"/>
        </a:xfrm>
        <a:prstGeom prst="wedgeRoundRectCallout">
          <a:avLst>
            <a:gd name="adj1" fmla="val 90181"/>
            <a:gd name="adj2" fmla="val 79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392430</xdr:colOff>
      <xdr:row>8</xdr:row>
      <xdr:rowOff>116205</xdr:rowOff>
    </xdr:from>
    <xdr:to>
      <xdr:col>6</xdr:col>
      <xdr:colOff>2388755</xdr:colOff>
      <xdr:row>11</xdr:row>
      <xdr:rowOff>241968</xdr:rowOff>
    </xdr:to>
    <xdr:sp macro="" textlink="">
      <xdr:nvSpPr>
        <xdr:cNvPr id="3" name="AutoShape 6"/>
        <xdr:cNvSpPr>
          <a:spLocks noChangeArrowheads="1"/>
        </xdr:cNvSpPr>
      </xdr:nvSpPr>
      <xdr:spPr bwMode="auto">
        <a:xfrm>
          <a:off x="7781925" y="2790825"/>
          <a:ext cx="2000250" cy="933450"/>
        </a:xfrm>
        <a:prstGeom prst="wedgeRoundRectCallout">
          <a:avLst>
            <a:gd name="adj1" fmla="val -70477"/>
            <a:gd name="adj2" fmla="val -1143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7"/>
  <sheetViews>
    <sheetView workbookViewId="0">
      <selection activeCell="A9" sqref="A9"/>
    </sheetView>
  </sheetViews>
  <sheetFormatPr defaultRowHeight="19.8" x14ac:dyDescent="0.5"/>
  <cols>
    <col min="1" max="1" width="59" customWidth="1"/>
    <col min="2" max="2" width="13.125" customWidth="1"/>
    <col min="3" max="3" width="14.875" customWidth="1"/>
    <col min="4" max="4" width="16.375" customWidth="1"/>
    <col min="5" max="5" width="11.375" customWidth="1"/>
    <col min="6" max="6" width="13.5" customWidth="1"/>
    <col min="7" max="7" width="46.625" bestFit="1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98" t="s">
        <v>61</v>
      </c>
      <c r="B3" s="98"/>
      <c r="C3" s="98"/>
      <c r="D3" s="98"/>
      <c r="E3" s="98"/>
      <c r="F3" s="98"/>
      <c r="G3" s="98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62</v>
      </c>
      <c r="B6" s="45">
        <f>+B5*2*2</f>
        <v>4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68</v>
      </c>
      <c r="B8" s="5" t="s">
        <v>36</v>
      </c>
      <c r="C8" s="10">
        <f>0.91*B5*2</f>
        <v>1.82</v>
      </c>
      <c r="D8" s="7">
        <f>120*1</f>
        <v>120</v>
      </c>
      <c r="E8" s="51">
        <v>0</v>
      </c>
      <c r="F8" s="9">
        <f>+(D8-(D8*E8))*C8</f>
        <v>218.4</v>
      </c>
      <c r="G8" s="99"/>
    </row>
    <row r="9" spans="1:7" x14ac:dyDescent="0.5">
      <c r="A9" s="1" t="s">
        <v>63</v>
      </c>
      <c r="B9" s="5" t="s">
        <v>36</v>
      </c>
      <c r="C9" s="10">
        <f>0.25*B5</f>
        <v>0.25</v>
      </c>
      <c r="D9" s="7">
        <f>105*1</f>
        <v>105</v>
      </c>
      <c r="E9" s="51">
        <v>0</v>
      </c>
      <c r="F9" s="9">
        <f t="shared" ref="F9:F15" si="0">+(D9-(D9*E9))*C9</f>
        <v>26.25</v>
      </c>
      <c r="G9" s="100"/>
    </row>
    <row r="10" spans="1:7" ht="20.399999999999999" x14ac:dyDescent="0.55000000000000004">
      <c r="A10" s="1" t="s">
        <v>64</v>
      </c>
      <c r="B10" s="5" t="s">
        <v>7</v>
      </c>
      <c r="C10" s="10">
        <f>0.36*B6</f>
        <v>1.44</v>
      </c>
      <c r="D10" s="7">
        <f>495*1</f>
        <v>495</v>
      </c>
      <c r="E10" s="51">
        <v>0</v>
      </c>
      <c r="F10" s="9">
        <f t="shared" si="0"/>
        <v>712.8</v>
      </c>
      <c r="G10" s="36"/>
    </row>
    <row r="11" spans="1:7" x14ac:dyDescent="0.5">
      <c r="A11" s="1" t="s">
        <v>16</v>
      </c>
      <c r="B11" s="5" t="s">
        <v>3</v>
      </c>
      <c r="C11" s="10">
        <f>1.25*B5</f>
        <v>1.25</v>
      </c>
      <c r="D11" s="7">
        <f>2*1</f>
        <v>2</v>
      </c>
      <c r="E11" s="51">
        <v>0</v>
      </c>
      <c r="F11" s="9">
        <f t="shared" si="0"/>
        <v>2.5</v>
      </c>
      <c r="G11" s="36"/>
    </row>
    <row r="12" spans="1:7" x14ac:dyDescent="0.5">
      <c r="A12" s="1" t="s">
        <v>17</v>
      </c>
      <c r="B12" s="5" t="s">
        <v>4</v>
      </c>
      <c r="C12" s="5">
        <f>0.019*B5*2</f>
        <v>3.7999999999999999E-2</v>
      </c>
      <c r="D12" s="7">
        <f>95*1</f>
        <v>95</v>
      </c>
      <c r="E12" s="51">
        <v>0</v>
      </c>
      <c r="F12" s="9">
        <f t="shared" si="0"/>
        <v>3.61</v>
      </c>
      <c r="G12" s="36"/>
    </row>
    <row r="13" spans="1:7" x14ac:dyDescent="0.5">
      <c r="A13" s="1" t="s">
        <v>65</v>
      </c>
      <c r="B13" s="5" t="s">
        <v>4</v>
      </c>
      <c r="C13" s="5">
        <f>0.019*B5*2*(700/488)</f>
        <v>5.4508196721311471E-2</v>
      </c>
      <c r="D13" s="7">
        <v>115</v>
      </c>
      <c r="E13" s="51">
        <v>0</v>
      </c>
      <c r="F13" s="9">
        <f>+(D13-(D13*E13))*C13</f>
        <v>6.2684426229508192</v>
      </c>
      <c r="G13" s="36"/>
    </row>
    <row r="14" spans="1:7" x14ac:dyDescent="0.5">
      <c r="A14" s="12" t="s">
        <v>15</v>
      </c>
      <c r="B14" s="21" t="s">
        <v>11</v>
      </c>
      <c r="C14" s="10">
        <f>0.015*B5*2</f>
        <v>0.03</v>
      </c>
      <c r="D14" s="7">
        <f>212*1</f>
        <v>212</v>
      </c>
      <c r="E14" s="51">
        <v>0</v>
      </c>
      <c r="F14" s="9">
        <f t="shared" si="0"/>
        <v>6.3599999999999994</v>
      </c>
      <c r="G14" s="36"/>
    </row>
    <row r="15" spans="1:7" x14ac:dyDescent="0.5">
      <c r="A15" s="12" t="s">
        <v>13</v>
      </c>
      <c r="B15" s="21" t="s">
        <v>12</v>
      </c>
      <c r="C15" s="48">
        <f>0.05*B5*2</f>
        <v>0.1</v>
      </c>
      <c r="D15" s="7">
        <f>37*1</f>
        <v>37</v>
      </c>
      <c r="E15" s="51">
        <v>0</v>
      </c>
      <c r="F15" s="9">
        <f t="shared" si="0"/>
        <v>3.7</v>
      </c>
      <c r="G15" s="38"/>
    </row>
    <row r="16" spans="1:7" x14ac:dyDescent="0.5">
      <c r="A16" s="1"/>
      <c r="B16" s="5"/>
      <c r="C16" s="10"/>
      <c r="D16" s="9"/>
      <c r="E16" s="9"/>
      <c r="F16" s="9"/>
      <c r="G16" s="101" t="s">
        <v>44</v>
      </c>
    </row>
    <row r="17" spans="1:7" x14ac:dyDescent="0.5">
      <c r="A17" s="1"/>
      <c r="B17" s="5"/>
      <c r="C17" s="10"/>
      <c r="D17" s="7"/>
      <c r="E17" s="7"/>
      <c r="F17" s="9"/>
      <c r="G17" s="102"/>
    </row>
    <row r="18" spans="1:7" x14ac:dyDescent="0.5">
      <c r="A18" s="1"/>
      <c r="B18" s="5"/>
      <c r="C18" s="10"/>
      <c r="D18" s="7"/>
      <c r="E18" s="7"/>
      <c r="F18" s="9"/>
      <c r="G18" s="20"/>
    </row>
    <row r="19" spans="1:7" ht="20.399999999999999" x14ac:dyDescent="0.55000000000000004">
      <c r="A19" s="1"/>
      <c r="B19" s="5"/>
      <c r="C19" s="10"/>
      <c r="D19" s="7"/>
      <c r="E19" s="7"/>
      <c r="F19" s="9"/>
      <c r="G19" s="42" t="s">
        <v>28</v>
      </c>
    </row>
    <row r="20" spans="1:7" ht="21" thickBot="1" x14ac:dyDescent="0.6">
      <c r="A20" s="3"/>
      <c r="B20" s="8"/>
      <c r="C20" s="11"/>
      <c r="D20" s="13"/>
      <c r="E20" s="13"/>
      <c r="F20" s="13"/>
      <c r="G20" s="42" t="s">
        <v>10</v>
      </c>
    </row>
    <row r="21" spans="1:7" ht="21" thickBot="1" x14ac:dyDescent="0.6">
      <c r="A21" s="14" t="s">
        <v>8</v>
      </c>
      <c r="C21" s="15"/>
      <c r="D21" s="15" t="s">
        <v>5</v>
      </c>
      <c r="E21" s="15"/>
      <c r="F21" s="16">
        <f>SUM(F8:F20)</f>
        <v>979.88844262295083</v>
      </c>
      <c r="G21" s="43" t="s">
        <v>18</v>
      </c>
    </row>
    <row r="22" spans="1:7" ht="20.399999999999999" x14ac:dyDescent="0.55000000000000004">
      <c r="A22" s="14"/>
      <c r="C22" s="15"/>
      <c r="D22" s="15"/>
      <c r="E22" s="15"/>
      <c r="F22" s="19"/>
      <c r="G22" s="32"/>
    </row>
    <row r="23" spans="1:7" x14ac:dyDescent="0.5">
      <c r="A23" s="17"/>
      <c r="B23" s="18"/>
      <c r="C23" s="4"/>
      <c r="D23" s="4"/>
      <c r="E23" s="4"/>
      <c r="F23" s="18"/>
      <c r="G23" s="4"/>
    </row>
    <row r="24" spans="1:7" x14ac:dyDescent="0.5">
      <c r="A24" s="24" t="s">
        <v>21</v>
      </c>
      <c r="B24" s="18"/>
      <c r="C24" s="4"/>
      <c r="F24" s="18"/>
      <c r="G24" s="4"/>
    </row>
    <row r="25" spans="1:7" ht="21" x14ac:dyDescent="0.6">
      <c r="A25" s="23" t="s">
        <v>22</v>
      </c>
      <c r="B25" s="18"/>
      <c r="C25" s="4"/>
      <c r="F25" s="18"/>
      <c r="G25" s="4"/>
    </row>
    <row r="26" spans="1:7" ht="21" x14ac:dyDescent="0.6">
      <c r="A26" s="23" t="s">
        <v>23</v>
      </c>
      <c r="B26" s="18"/>
    </row>
    <row r="27" spans="1:7" ht="21" x14ac:dyDescent="0.6">
      <c r="A27" s="23" t="s">
        <v>24</v>
      </c>
    </row>
  </sheetData>
  <mergeCells count="3">
    <mergeCell ref="A3:G3"/>
    <mergeCell ref="G8:G9"/>
    <mergeCell ref="G16:G17"/>
  </mergeCells>
  <pageMargins left="0.15748031496062992" right="0.15748031496062992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C25" sqref="C2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3.875" customWidth="1"/>
    <col min="5" max="5" width="10.6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98" t="s">
        <v>67</v>
      </c>
      <c r="B3" s="98"/>
      <c r="C3" s="98"/>
      <c r="D3" s="98"/>
      <c r="E3" s="98"/>
      <c r="F3" s="98"/>
      <c r="G3" s="98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0.44*B5</f>
        <v>0.44</v>
      </c>
      <c r="D8" s="7">
        <f>98*1</f>
        <v>98</v>
      </c>
      <c r="E8" s="51">
        <v>0</v>
      </c>
      <c r="F8" s="9">
        <f>+(D8-(D8*E8))*C8</f>
        <v>43.12</v>
      </c>
      <c r="G8" s="99"/>
    </row>
    <row r="9" spans="1:7" x14ac:dyDescent="0.5">
      <c r="A9" s="1" t="s">
        <v>56</v>
      </c>
      <c r="B9" s="5" t="s">
        <v>30</v>
      </c>
      <c r="C9" s="10">
        <f>0.66*B5</f>
        <v>0.66</v>
      </c>
      <c r="D9" s="7">
        <f>98*1</f>
        <v>98</v>
      </c>
      <c r="E9" s="51">
        <v>0</v>
      </c>
      <c r="F9" s="9">
        <f t="shared" ref="F9:F22" si="0">+(D9-(D9*E9))*C9</f>
        <v>64.680000000000007</v>
      </c>
      <c r="G9" s="100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f>36*1</f>
        <v>36</v>
      </c>
      <c r="E10" s="51">
        <v>0</v>
      </c>
      <c r="F10" s="9">
        <f t="shared" si="0"/>
        <v>10.799999999999999</v>
      </c>
      <c r="G10" s="103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03"/>
    </row>
    <row r="12" spans="1:7" x14ac:dyDescent="0.5">
      <c r="A12" s="1" t="s">
        <v>37</v>
      </c>
      <c r="B12" s="5" t="s">
        <v>3</v>
      </c>
      <c r="C12" s="5">
        <f>2.92*$B$5</f>
        <v>2.92</v>
      </c>
      <c r="D12" s="7">
        <f>4*1</f>
        <v>4</v>
      </c>
      <c r="E12" s="51">
        <v>0</v>
      </c>
      <c r="F12" s="9">
        <f t="shared" si="0"/>
        <v>11.68</v>
      </c>
      <c r="G12" s="103"/>
    </row>
    <row r="13" spans="1:7" x14ac:dyDescent="0.5">
      <c r="A13" s="1" t="s">
        <v>38</v>
      </c>
      <c r="B13" s="5" t="s">
        <v>3</v>
      </c>
      <c r="C13" s="5">
        <f>2.92*$B$5</f>
        <v>2.92</v>
      </c>
      <c r="D13" s="7">
        <f>2.25*1</f>
        <v>2.25</v>
      </c>
      <c r="E13" s="51">
        <v>0</v>
      </c>
      <c r="F13" s="9">
        <f t="shared" si="0"/>
        <v>6.57</v>
      </c>
      <c r="G13" s="44"/>
    </row>
    <row r="14" spans="1:7" x14ac:dyDescent="0.5">
      <c r="A14" s="1" t="s">
        <v>41</v>
      </c>
      <c r="B14" s="5" t="s">
        <v>3</v>
      </c>
      <c r="C14" s="5">
        <f>2.92*$B$5</f>
        <v>2.92</v>
      </c>
      <c r="D14" s="7">
        <f>4*1</f>
        <v>4</v>
      </c>
      <c r="E14" s="51">
        <v>0</v>
      </c>
      <c r="F14" s="9">
        <f t="shared" si="0"/>
        <v>11.68</v>
      </c>
      <c r="G14" s="44"/>
    </row>
    <row r="15" spans="1:7" x14ac:dyDescent="0.5">
      <c r="A15" s="1" t="s">
        <v>40</v>
      </c>
      <c r="B15" s="5" t="s">
        <v>3</v>
      </c>
      <c r="C15" s="5">
        <f>0.85*B5</f>
        <v>0.85</v>
      </c>
      <c r="D15" s="7">
        <f>5.5*1</f>
        <v>5.5</v>
      </c>
      <c r="E15" s="51">
        <v>0</v>
      </c>
      <c r="F15" s="9">
        <f t="shared" si="0"/>
        <v>4.6749999999999998</v>
      </c>
      <c r="G15" s="44"/>
    </row>
    <row r="16" spans="1:7" x14ac:dyDescent="0.5">
      <c r="A16" s="1" t="s">
        <v>42</v>
      </c>
      <c r="B16" s="5" t="s">
        <v>36</v>
      </c>
      <c r="C16" s="5">
        <f>0.58*B5</f>
        <v>0.57999999999999996</v>
      </c>
      <c r="D16" s="7">
        <f>20*1</f>
        <v>20</v>
      </c>
      <c r="E16" s="51">
        <v>0</v>
      </c>
      <c r="F16" s="9">
        <f t="shared" si="0"/>
        <v>11.6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0.03*B6</f>
        <v>0.03</v>
      </c>
      <c r="D17" s="7">
        <f>95*1</f>
        <v>95</v>
      </c>
      <c r="E17" s="51">
        <v>0</v>
      </c>
      <c r="F17" s="9">
        <f t="shared" si="0"/>
        <v>2.85</v>
      </c>
      <c r="G17" s="35"/>
    </row>
    <row r="18" spans="1:8" x14ac:dyDescent="0.5">
      <c r="A18" s="1" t="s">
        <v>32</v>
      </c>
      <c r="B18" s="5" t="s">
        <v>33</v>
      </c>
      <c r="C18" s="5">
        <f>2.92*$B$5</f>
        <v>2.92</v>
      </c>
      <c r="D18" s="7">
        <f>2*1</f>
        <v>2</v>
      </c>
      <c r="E18" s="51">
        <v>0</v>
      </c>
      <c r="F18" s="9">
        <f t="shared" si="0"/>
        <v>5.84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4.38*B5</f>
        <v>4.38</v>
      </c>
      <c r="D19" s="7">
        <f>3.75*1</f>
        <v>3.75</v>
      </c>
      <c r="E19" s="51">
        <v>0</v>
      </c>
      <c r="F19" s="9">
        <f t="shared" si="0"/>
        <v>16.425000000000001</v>
      </c>
      <c r="G19" s="35"/>
    </row>
    <row r="20" spans="1:8" ht="20.399999999999999" x14ac:dyDescent="0.55000000000000004">
      <c r="A20" s="1" t="s">
        <v>52</v>
      </c>
      <c r="B20" s="5" t="s">
        <v>7</v>
      </c>
      <c r="C20" s="10">
        <f>0.36*B6</f>
        <v>0.36</v>
      </c>
      <c r="D20" s="7">
        <f>238*1</f>
        <v>238</v>
      </c>
      <c r="E20" s="51">
        <v>0</v>
      </c>
      <c r="F20" s="9">
        <f t="shared" si="0"/>
        <v>85.679999999999993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0.015*B6</f>
        <v>1.4999999999999999E-2</v>
      </c>
      <c r="D21" s="7">
        <f>212*1</f>
        <v>212</v>
      </c>
      <c r="E21" s="51">
        <v>0</v>
      </c>
      <c r="F21" s="9">
        <f t="shared" si="0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0.05*B6</f>
        <v>0.05</v>
      </c>
      <c r="D22" s="7">
        <f>37*1</f>
        <v>37</v>
      </c>
      <c r="E22" s="51">
        <v>0</v>
      </c>
      <c r="F22" s="9">
        <f t="shared" si="0"/>
        <v>1.85</v>
      </c>
      <c r="G22" s="37"/>
    </row>
    <row r="23" spans="1:8" x14ac:dyDescent="0.5">
      <c r="A23" s="1"/>
      <c r="B23" s="41"/>
      <c r="C23" s="41"/>
      <c r="D23" s="41"/>
      <c r="E23" s="41"/>
      <c r="F23" s="41"/>
      <c r="G23" s="38"/>
    </row>
    <row r="24" spans="1:8" ht="20.399999999999999" thickBot="1" x14ac:dyDescent="0.55000000000000004">
      <c r="A24" s="3"/>
      <c r="B24" s="13"/>
      <c r="C24" s="13"/>
      <c r="D24" s="13"/>
      <c r="E24" s="13" t="s">
        <v>45</v>
      </c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283.83000000000004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7" workbookViewId="0">
      <selection activeCell="A11" sqref="A11:F11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0.87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98" t="s">
        <v>59</v>
      </c>
      <c r="B3" s="98"/>
      <c r="C3" s="98"/>
      <c r="D3" s="98"/>
      <c r="E3" s="98"/>
      <c r="F3" s="98"/>
      <c r="G3" s="98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0.43*B5</f>
        <v>0.43</v>
      </c>
      <c r="D8" s="7">
        <v>98</v>
      </c>
      <c r="E8" s="52">
        <v>0</v>
      </c>
      <c r="F8" s="9">
        <f t="shared" ref="F8:F14" si="0">+D8*C8</f>
        <v>42.14</v>
      </c>
      <c r="G8" s="99"/>
    </row>
    <row r="9" spans="1:7" x14ac:dyDescent="0.5">
      <c r="A9" s="1" t="s">
        <v>56</v>
      </c>
      <c r="B9" s="5" t="s">
        <v>30</v>
      </c>
      <c r="C9" s="10">
        <f>0.43*B5</f>
        <v>0.43</v>
      </c>
      <c r="D9" s="7">
        <v>98</v>
      </c>
      <c r="E9" s="52">
        <v>0</v>
      </c>
      <c r="F9" s="9">
        <f t="shared" si="0"/>
        <v>42.14</v>
      </c>
      <c r="G9" s="100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v>36</v>
      </c>
      <c r="E10" s="52">
        <v>0</v>
      </c>
      <c r="F10" s="9">
        <f t="shared" si="0"/>
        <v>10.799999999999999</v>
      </c>
      <c r="G10" s="103"/>
    </row>
    <row r="11" spans="1:7" x14ac:dyDescent="0.5">
      <c r="A11" s="1" t="s">
        <v>46</v>
      </c>
      <c r="B11" s="5" t="s">
        <v>4</v>
      </c>
      <c r="C11" s="5">
        <f>0.008*B5</f>
        <v>8.0000000000000002E-3</v>
      </c>
      <c r="D11" s="7">
        <f>320*1</f>
        <v>320</v>
      </c>
      <c r="E11" s="51">
        <v>0</v>
      </c>
      <c r="F11" s="9">
        <f>+(D11-(D11*E11))*C11</f>
        <v>2.56</v>
      </c>
      <c r="G11" s="103"/>
    </row>
    <row r="12" spans="1:7" x14ac:dyDescent="0.5">
      <c r="A12" s="1" t="s">
        <v>37</v>
      </c>
      <c r="B12" s="5" t="s">
        <v>3</v>
      </c>
      <c r="C12" s="5">
        <f>1.45*B5</f>
        <v>1.45</v>
      </c>
      <c r="D12" s="7">
        <v>4</v>
      </c>
      <c r="E12" s="52">
        <v>0</v>
      </c>
      <c r="F12" s="9">
        <f t="shared" si="0"/>
        <v>5.8</v>
      </c>
      <c r="G12" s="103"/>
    </row>
    <row r="13" spans="1:7" x14ac:dyDescent="0.5">
      <c r="A13" s="1" t="s">
        <v>38</v>
      </c>
      <c r="B13" s="5" t="s">
        <v>3</v>
      </c>
      <c r="C13" s="5">
        <f>1.45*$B$5</f>
        <v>1.45</v>
      </c>
      <c r="D13" s="7">
        <v>2.25</v>
      </c>
      <c r="E13" s="52">
        <v>0</v>
      </c>
      <c r="F13" s="9">
        <f t="shared" si="0"/>
        <v>3.2624999999999997</v>
      </c>
      <c r="G13" s="44"/>
    </row>
    <row r="14" spans="1:7" x14ac:dyDescent="0.5">
      <c r="A14" s="1" t="s">
        <v>41</v>
      </c>
      <c r="B14" s="5" t="s">
        <v>3</v>
      </c>
      <c r="C14" s="5">
        <f>1.45*$B$5</f>
        <v>1.45</v>
      </c>
      <c r="D14" s="7">
        <v>4</v>
      </c>
      <c r="E14" s="52">
        <v>0</v>
      </c>
      <c r="F14" s="9">
        <f t="shared" si="0"/>
        <v>5.8</v>
      </c>
      <c r="G14" s="44"/>
    </row>
    <row r="15" spans="1:7" hidden="1" x14ac:dyDescent="0.5">
      <c r="A15" s="54" t="s">
        <v>40</v>
      </c>
      <c r="B15" s="55" t="s">
        <v>3</v>
      </c>
      <c r="C15" s="55">
        <f>0.9*B5</f>
        <v>0.9</v>
      </c>
      <c r="D15" s="56">
        <v>5.5</v>
      </c>
      <c r="E15" s="57">
        <v>0</v>
      </c>
      <c r="F15" s="58"/>
      <c r="G15" s="44"/>
    </row>
    <row r="16" spans="1:7" x14ac:dyDescent="0.5">
      <c r="A16" s="1" t="s">
        <v>42</v>
      </c>
      <c r="B16" s="5" t="s">
        <v>36</v>
      </c>
      <c r="C16" s="5">
        <f>(1.45*0.8/3)*B5</f>
        <v>0.38666666666666666</v>
      </c>
      <c r="D16" s="7">
        <v>20</v>
      </c>
      <c r="E16" s="52">
        <v>0</v>
      </c>
      <c r="F16" s="9">
        <f t="shared" ref="F16:F22" si="1">+D16*C16</f>
        <v>7.7333333333333334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0.03*B5*700/488</f>
        <v>4.3032786885245901E-2</v>
      </c>
      <c r="D17" s="7">
        <v>95</v>
      </c>
      <c r="E17" s="52">
        <v>0</v>
      </c>
      <c r="F17" s="9">
        <f t="shared" si="1"/>
        <v>4.0881147540983607</v>
      </c>
      <c r="G17" s="35"/>
    </row>
    <row r="18" spans="1:8" x14ac:dyDescent="0.5">
      <c r="A18" s="1" t="s">
        <v>32</v>
      </c>
      <c r="B18" s="5" t="s">
        <v>33</v>
      </c>
      <c r="C18" s="5">
        <f>1.45*$B$5</f>
        <v>1.45</v>
      </c>
      <c r="D18" s="7">
        <v>2</v>
      </c>
      <c r="E18" s="52">
        <v>0</v>
      </c>
      <c r="F18" s="9">
        <f t="shared" si="1"/>
        <v>2.9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2.91*B5</f>
        <v>2.91</v>
      </c>
      <c r="D19" s="7">
        <v>3.75</v>
      </c>
      <c r="E19" s="52">
        <v>0</v>
      </c>
      <c r="F19" s="9">
        <f t="shared" si="1"/>
        <v>10.912500000000001</v>
      </c>
      <c r="G19" s="35"/>
    </row>
    <row r="20" spans="1:8" ht="20.399999999999999" x14ac:dyDescent="0.55000000000000004">
      <c r="A20" s="1" t="s">
        <v>57</v>
      </c>
      <c r="B20" s="5" t="s">
        <v>7</v>
      </c>
      <c r="C20" s="10">
        <f>0.36*B6</f>
        <v>0.36</v>
      </c>
      <c r="D20" s="7">
        <v>1150</v>
      </c>
      <c r="E20" s="52">
        <v>0</v>
      </c>
      <c r="F20" s="9">
        <f t="shared" si="1"/>
        <v>414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0.015*B5</f>
        <v>1.4999999999999999E-2</v>
      </c>
      <c r="D21" s="7">
        <v>212</v>
      </c>
      <c r="E21" s="52">
        <v>0</v>
      </c>
      <c r="F21" s="9">
        <f t="shared" si="1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0.05*B5</f>
        <v>0.05</v>
      </c>
      <c r="D22" s="7">
        <v>37</v>
      </c>
      <c r="E22" s="52">
        <v>0</v>
      </c>
      <c r="F22" s="9">
        <f t="shared" si="1"/>
        <v>1.85</v>
      </c>
      <c r="G22" s="37"/>
    </row>
    <row r="23" spans="1:8" ht="20.399999999999999" thickBot="1" x14ac:dyDescent="0.55000000000000004">
      <c r="A23" s="3"/>
      <c r="B23" s="53"/>
      <c r="C23" s="53"/>
      <c r="D23" s="53"/>
      <c r="E23" s="53"/>
      <c r="F23" s="3"/>
      <c r="G23" s="38"/>
    </row>
    <row r="24" spans="1:8" ht="20.399999999999999" hidden="1" thickBot="1" x14ac:dyDescent="0.55000000000000004">
      <c r="A24" s="49" t="s">
        <v>49</v>
      </c>
      <c r="B24" s="13" t="s">
        <v>50</v>
      </c>
      <c r="C24" s="13">
        <f>B6</f>
        <v>1</v>
      </c>
      <c r="D24" s="13">
        <v>120</v>
      </c>
      <c r="E24" s="13"/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557.16644808743172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honeticPr fontId="0" type="noConversion"/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S28"/>
  <sheetViews>
    <sheetView tabSelected="1" zoomScaleNormal="100" workbookViewId="0">
      <selection activeCell="B3" sqref="B3:K3"/>
    </sheetView>
  </sheetViews>
  <sheetFormatPr defaultRowHeight="19.8" x14ac:dyDescent="0.5"/>
  <cols>
    <col min="1" max="1" width="20.125" customWidth="1"/>
    <col min="2" max="2" width="17.125" customWidth="1"/>
    <col min="3" max="3" width="36" customWidth="1"/>
    <col min="4" max="4" width="14.625" customWidth="1"/>
    <col min="5" max="6" width="16" customWidth="1"/>
    <col min="7" max="7" width="12.375" bestFit="1" customWidth="1"/>
    <col min="8" max="8" width="13.875" customWidth="1"/>
    <col min="9" max="9" width="10.625" customWidth="1"/>
    <col min="10" max="10" width="15" customWidth="1"/>
    <col min="11" max="11" width="43.5" customWidth="1"/>
  </cols>
  <sheetData>
    <row r="1" spans="1:19" ht="23.4" x14ac:dyDescent="0.6">
      <c r="B1" s="104" t="s">
        <v>14</v>
      </c>
      <c r="C1" s="104"/>
      <c r="D1" s="104"/>
      <c r="E1" s="104"/>
      <c r="F1" s="104"/>
      <c r="G1" s="104"/>
      <c r="H1" s="104"/>
      <c r="I1" s="104"/>
      <c r="J1" s="104"/>
      <c r="K1" s="104"/>
    </row>
    <row r="2" spans="1:19" ht="23.4" x14ac:dyDescent="0.6">
      <c r="C2" s="22"/>
      <c r="D2" s="2"/>
      <c r="E2" s="2"/>
      <c r="F2" s="2"/>
      <c r="G2" s="2"/>
      <c r="H2" s="2"/>
      <c r="I2" s="2"/>
      <c r="J2" s="2"/>
      <c r="K2" s="2"/>
    </row>
    <row r="3" spans="1:19" ht="34.799999999999997" x14ac:dyDescent="0.9">
      <c r="B3" s="98" t="s">
        <v>182</v>
      </c>
      <c r="C3" s="98"/>
      <c r="D3" s="98"/>
      <c r="E3" s="98"/>
      <c r="F3" s="98"/>
      <c r="G3" s="98"/>
      <c r="H3" s="98"/>
      <c r="I3" s="98"/>
      <c r="J3" s="98"/>
      <c r="K3" s="98"/>
      <c r="M3" s="4"/>
      <c r="N3" s="4"/>
      <c r="O3" s="4"/>
    </row>
    <row r="4" spans="1:19" ht="31.5" customHeight="1" x14ac:dyDescent="0.6">
      <c r="A4" s="108" t="s">
        <v>6</v>
      </c>
      <c r="B4" s="108"/>
      <c r="C4" s="108"/>
      <c r="D4" s="26"/>
      <c r="E4" s="26"/>
      <c r="F4" s="26"/>
      <c r="G4" s="26"/>
      <c r="H4" s="27"/>
      <c r="I4" s="59" t="s">
        <v>69</v>
      </c>
      <c r="J4" s="60">
        <v>4</v>
      </c>
      <c r="K4" s="63" t="s">
        <v>73</v>
      </c>
      <c r="M4" s="4"/>
      <c r="N4" s="4"/>
      <c r="O4" s="4"/>
      <c r="P4" s="4"/>
      <c r="Q4" s="4"/>
      <c r="R4" s="4"/>
    </row>
    <row r="5" spans="1:19" ht="32.4" x14ac:dyDescent="0.85">
      <c r="A5" s="107" t="s">
        <v>27</v>
      </c>
      <c r="B5" s="107"/>
      <c r="C5" s="107"/>
      <c r="D5" s="96">
        <f>J5*J4</f>
        <v>20</v>
      </c>
      <c r="E5" s="29" t="s">
        <v>19</v>
      </c>
      <c r="F5" s="29"/>
      <c r="G5" s="29"/>
      <c r="H5" s="27"/>
      <c r="I5" s="59" t="s">
        <v>70</v>
      </c>
      <c r="J5" s="60">
        <v>5</v>
      </c>
      <c r="K5" s="63" t="s">
        <v>73</v>
      </c>
      <c r="M5" s="4"/>
      <c r="N5" s="4"/>
      <c r="O5" s="4"/>
      <c r="P5" s="4"/>
      <c r="Q5" s="4"/>
      <c r="R5" s="61"/>
      <c r="S5" s="62"/>
    </row>
    <row r="6" spans="1:19" ht="32.4" x14ac:dyDescent="0.85">
      <c r="A6" s="93" t="s">
        <v>34</v>
      </c>
      <c r="B6" s="93"/>
      <c r="C6" s="93"/>
      <c r="D6" s="45">
        <f>D5</f>
        <v>20</v>
      </c>
      <c r="E6" s="93" t="s">
        <v>20</v>
      </c>
      <c r="F6" s="93"/>
      <c r="G6" s="95"/>
      <c r="H6" s="95"/>
      <c r="I6" s="95"/>
      <c r="J6" s="95"/>
      <c r="K6" s="95"/>
      <c r="M6" s="4"/>
      <c r="N6" s="4"/>
      <c r="O6" s="4"/>
      <c r="P6" s="4"/>
      <c r="Q6" s="4"/>
      <c r="R6" s="61"/>
      <c r="S6" s="62"/>
    </row>
    <row r="7" spans="1:19" ht="32.4" x14ac:dyDescent="0.85">
      <c r="A7" s="107" t="s">
        <v>72</v>
      </c>
      <c r="B7" s="107"/>
      <c r="C7" s="107"/>
      <c r="D7" s="65">
        <v>1</v>
      </c>
      <c r="E7" s="29" t="s">
        <v>73</v>
      </c>
      <c r="F7" s="29"/>
      <c r="G7" s="95"/>
      <c r="H7" s="95"/>
      <c r="I7" s="95"/>
      <c r="J7" s="95"/>
      <c r="K7" s="95"/>
      <c r="M7" s="4"/>
      <c r="N7" s="4"/>
      <c r="O7" s="4"/>
      <c r="P7" s="4"/>
      <c r="Q7" s="4"/>
      <c r="R7" s="61"/>
    </row>
    <row r="8" spans="1:19" ht="21" thickBot="1" x14ac:dyDescent="0.6">
      <c r="A8" s="94"/>
      <c r="B8" s="94"/>
      <c r="C8" s="94"/>
      <c r="D8" s="94"/>
      <c r="E8" s="94"/>
      <c r="F8" s="29"/>
      <c r="G8" s="29"/>
      <c r="H8" s="30"/>
      <c r="I8" s="64" t="s">
        <v>71</v>
      </c>
      <c r="J8" s="97">
        <v>0.05</v>
      </c>
      <c r="K8" s="33" t="s">
        <v>181</v>
      </c>
      <c r="M8" s="4"/>
      <c r="N8" s="4"/>
      <c r="O8" s="4"/>
      <c r="P8" s="4"/>
      <c r="Q8" s="4"/>
      <c r="R8" s="61"/>
    </row>
    <row r="9" spans="1:19" ht="21" thickBot="1" x14ac:dyDescent="0.6">
      <c r="A9" s="91" t="s">
        <v>112</v>
      </c>
      <c r="B9" s="105" t="s">
        <v>0</v>
      </c>
      <c r="C9" s="106"/>
      <c r="D9" s="47" t="s">
        <v>1</v>
      </c>
      <c r="E9" s="47" t="s">
        <v>74</v>
      </c>
      <c r="F9" s="68" t="s">
        <v>77</v>
      </c>
      <c r="G9" s="46" t="s">
        <v>81</v>
      </c>
      <c r="H9" s="47" t="s">
        <v>26</v>
      </c>
      <c r="I9" s="46" t="s">
        <v>53</v>
      </c>
      <c r="J9" s="46" t="s">
        <v>2</v>
      </c>
      <c r="K9" s="46" t="s">
        <v>9</v>
      </c>
      <c r="M9" s="4"/>
      <c r="N9" s="4"/>
      <c r="O9" s="4"/>
    </row>
    <row r="10" spans="1:19" x14ac:dyDescent="0.5">
      <c r="A10" s="109" t="str">
        <f>IFERROR(VLOOKUP($C10,Data!$A2:$I7,9,),0)</f>
        <v>530050050100001</v>
      </c>
      <c r="B10" s="110" t="s">
        <v>114</v>
      </c>
      <c r="C10" s="111" t="s">
        <v>180</v>
      </c>
      <c r="D10" s="112">
        <f>IFERROR(VLOOKUP($C10,Data!$A2:$H7,2,),0)/1000</f>
        <v>3.6</v>
      </c>
      <c r="E10" s="113">
        <f>IFERROR(VLOOKUP($C10,Data!$A2:$H7,7,),0)</f>
        <v>5.25</v>
      </c>
      <c r="F10" s="114">
        <f>$E10/$D$5</f>
        <v>0.26250000000000001</v>
      </c>
      <c r="G10" s="114">
        <f>IFERROR(VLOOKUP($C10,Data!$A2:$H7,5,),0)*F10</f>
        <v>0.22312499999999999</v>
      </c>
      <c r="H10" s="115">
        <f>IFERROR(VLOOKUP($C10,Data!$A2:$H7,6,),0)</f>
        <v>145</v>
      </c>
      <c r="I10" s="116"/>
      <c r="J10" s="117">
        <f>+(H10-(H10*I10))*E10</f>
        <v>761.25</v>
      </c>
      <c r="K10" s="118"/>
      <c r="M10" s="4"/>
      <c r="N10" s="4"/>
      <c r="O10" s="4"/>
    </row>
    <row r="11" spans="1:19" x14ac:dyDescent="0.5">
      <c r="A11" s="109" t="str">
        <f>IFERROR(VLOOKUP($C11,Data!$A9:$I14,9,),0)</f>
        <v>530050050200001</v>
      </c>
      <c r="B11" s="119" t="s">
        <v>122</v>
      </c>
      <c r="C11" s="120" t="s">
        <v>172</v>
      </c>
      <c r="D11" s="121">
        <f>IFERROR(VLOOKUP($C11,Data!$A9:$H14,2,),0)/1000</f>
        <v>0.6</v>
      </c>
      <c r="E11" s="113">
        <f>IFERROR(VLOOKUP($C11,Data!$A9:$H14,7,),0)</f>
        <v>29.400000000000002</v>
      </c>
      <c r="F11" s="114">
        <f t="shared" ref="F11:F20" si="0">$E11/$D$5</f>
        <v>1.4700000000000002</v>
      </c>
      <c r="G11" s="114">
        <f>IFERROR(VLOOKUP($C11,Data!$A9:$H14,5,),0)*F11</f>
        <v>0.19110000000000002</v>
      </c>
      <c r="H11" s="115">
        <f>IFERROR(VLOOKUP($C11,Data!$A9:$H14,6,),0)</f>
        <v>23</v>
      </c>
      <c r="I11" s="116"/>
      <c r="J11" s="117">
        <f t="shared" ref="J11:J20" si="1">+(H11-(H11*I11))*E11</f>
        <v>676.2</v>
      </c>
      <c r="K11" s="122"/>
      <c r="M11" s="4"/>
      <c r="N11" s="4"/>
      <c r="O11" s="4"/>
    </row>
    <row r="12" spans="1:19" x14ac:dyDescent="0.5">
      <c r="A12" s="109" t="str">
        <f>IFERROR(VLOOKUP($C12,Data!$A16:$I21,9,),0)</f>
        <v>530050050200002</v>
      </c>
      <c r="B12" s="119" t="s">
        <v>123</v>
      </c>
      <c r="C12" s="120" t="s">
        <v>175</v>
      </c>
      <c r="D12" s="123">
        <f>IFERROR(VLOOKUP($C12,Data!$A16:$H20,2,),0)/1000</f>
        <v>1.2</v>
      </c>
      <c r="E12" s="113">
        <f>IFERROR(VLOOKUP($C12,Data!$A16:$H20,7,),0)</f>
        <v>29.400000000000002</v>
      </c>
      <c r="F12" s="114">
        <f t="shared" si="0"/>
        <v>1.4700000000000002</v>
      </c>
      <c r="G12" s="114">
        <f>IFERROR(VLOOKUP($C12,Data!$A16:$H20,5,),0)*F12</f>
        <v>0.36750000000000005</v>
      </c>
      <c r="H12" s="115">
        <f>IFERROR(VLOOKUP($C12,Data!$A16:$H20,6,),0)</f>
        <v>45</v>
      </c>
      <c r="I12" s="116"/>
      <c r="J12" s="117">
        <f t="shared" ref="J12" si="2">+(H12-(H12*I12))*E12</f>
        <v>1323</v>
      </c>
      <c r="K12" s="124"/>
      <c r="M12" s="4"/>
      <c r="N12" s="4"/>
      <c r="O12" s="4"/>
    </row>
    <row r="13" spans="1:19" x14ac:dyDescent="0.5">
      <c r="A13" s="109" t="str">
        <f>IFERROR(VLOOKUP($C13,Data!$A35:$I38,9,),0)</f>
        <v>530050050300001</v>
      </c>
      <c r="B13" s="125" t="s">
        <v>115</v>
      </c>
      <c r="C13" s="120" t="s">
        <v>151</v>
      </c>
      <c r="D13" s="126" t="s">
        <v>167</v>
      </c>
      <c r="E13" s="113">
        <f>IFERROR(VLOOKUP($C13,Data!$A35:$H38,7,),0)</f>
        <v>5.25</v>
      </c>
      <c r="F13" s="114">
        <f t="shared" si="0"/>
        <v>0.26250000000000001</v>
      </c>
      <c r="G13" s="114">
        <f>IFERROR(VLOOKUP($C13,Data!$A35:$H38,5,),0)*F13</f>
        <v>0.14700000000000002</v>
      </c>
      <c r="H13" s="115">
        <f>IFERROR(VLOOKUP($C13,Data!$A35:$H38,6,),0)</f>
        <v>95</v>
      </c>
      <c r="I13" s="116"/>
      <c r="J13" s="117">
        <f t="shared" si="1"/>
        <v>498.75</v>
      </c>
      <c r="K13" s="127"/>
      <c r="M13" s="4"/>
      <c r="N13" s="4"/>
      <c r="O13" s="4"/>
    </row>
    <row r="14" spans="1:19" x14ac:dyDescent="0.5">
      <c r="A14" s="109" t="str">
        <f>IFERROR(VLOOKUP($C14,Data!$A23:$I24,9,),0)</f>
        <v>520088230000001</v>
      </c>
      <c r="B14" s="128" t="s">
        <v>116</v>
      </c>
      <c r="C14" s="120" t="s">
        <v>158</v>
      </c>
      <c r="D14" s="126" t="s">
        <v>3</v>
      </c>
      <c r="E14" s="113">
        <f>IFERROR(VLOOKUP($C14,Data!$A23:$H285,7,),0)</f>
        <v>14.700000000000001</v>
      </c>
      <c r="F14" s="114">
        <f t="shared" si="0"/>
        <v>0.7350000000000001</v>
      </c>
      <c r="G14" s="114">
        <f>IFERROR(VLOOKUP($C14,Data!$A23:$H285,5,),0)*F14</f>
        <v>1.4700000000000003E-2</v>
      </c>
      <c r="H14" s="115">
        <f>IFERROR(VLOOKUP($C14,Data!$A23:$H24,6,),0)</f>
        <v>2.5</v>
      </c>
      <c r="I14" s="116"/>
      <c r="J14" s="117">
        <f t="shared" si="1"/>
        <v>36.75</v>
      </c>
      <c r="K14" s="127"/>
    </row>
    <row r="15" spans="1:19" x14ac:dyDescent="0.5">
      <c r="A15" s="109" t="str">
        <f>IFERROR(VLOOKUP($C15,Data!$A26:$I27,9,),0)</f>
        <v>520080050000001</v>
      </c>
      <c r="B15" s="119" t="s">
        <v>117</v>
      </c>
      <c r="C15" s="120" t="s">
        <v>87</v>
      </c>
      <c r="D15" s="126" t="s">
        <v>3</v>
      </c>
      <c r="E15" s="113">
        <f>IFERROR(VLOOKUP($C15,Data!$A26:$H27,7,),0)</f>
        <v>14.700000000000001</v>
      </c>
      <c r="F15" s="114">
        <f t="shared" si="0"/>
        <v>0.7350000000000001</v>
      </c>
      <c r="G15" s="114">
        <f>IFERROR(VLOOKUP($C15,Data!$A26:$H27,5,),0)*F15</f>
        <v>1.323E-2</v>
      </c>
      <c r="H15" s="115">
        <f>IFERROR(VLOOKUP($C15,Data!$A26:$H27,6,),0)</f>
        <v>2.25</v>
      </c>
      <c r="I15" s="116"/>
      <c r="J15" s="117">
        <f t="shared" si="1"/>
        <v>33.075000000000003</v>
      </c>
      <c r="K15" s="127"/>
    </row>
    <row r="16" spans="1:19" x14ac:dyDescent="0.5">
      <c r="A16" s="109" t="str">
        <f>IFERROR(VLOOKUP($C16,Data!$A29:$I30,9,),0)</f>
        <v>520080030000003</v>
      </c>
      <c r="B16" s="125" t="s">
        <v>118</v>
      </c>
      <c r="C16" s="120" t="s">
        <v>89</v>
      </c>
      <c r="D16" s="126" t="s">
        <v>3</v>
      </c>
      <c r="E16" s="113">
        <f>IFERROR(VLOOKUP($C16,Data!$A29:$H30,7,),0)</f>
        <v>14.700000000000001</v>
      </c>
      <c r="F16" s="114">
        <f t="shared" si="0"/>
        <v>0.7350000000000001</v>
      </c>
      <c r="G16" s="114">
        <f>IFERROR(VLOOKUP($C16,Data!$A29:$H30,5,),0)*F16</f>
        <v>6.6150000000000002E-3</v>
      </c>
      <c r="H16" s="115">
        <f>IFERROR(VLOOKUP($C16,Data!$A29:$H30,6,),0)</f>
        <v>6</v>
      </c>
      <c r="I16" s="116"/>
      <c r="J16" s="117">
        <f t="shared" si="1"/>
        <v>88.2</v>
      </c>
      <c r="K16" s="127"/>
    </row>
    <row r="17" spans="1:12" x14ac:dyDescent="0.5">
      <c r="A17" s="109" t="str">
        <f>IFERROR(VLOOKUP($C17,Data!$A32:$I33,9,),0)</f>
        <v>520080010000001</v>
      </c>
      <c r="B17" s="125" t="s">
        <v>119</v>
      </c>
      <c r="C17" s="120" t="s">
        <v>103</v>
      </c>
      <c r="D17" s="126" t="s">
        <v>36</v>
      </c>
      <c r="E17" s="113">
        <f>IFERROR(VLOOKUP($C17,Data!$A24:$H288,7,),0)</f>
        <v>4.9000000000000004</v>
      </c>
      <c r="F17" s="114">
        <f t="shared" si="0"/>
        <v>0.24500000000000002</v>
      </c>
      <c r="G17" s="114">
        <f>IFERROR(VLOOKUP($C17,Data!$A24:$H288,5,),0)*F17</f>
        <v>7.350000000000001E-2</v>
      </c>
      <c r="H17" s="115">
        <f>IFERROR(VLOOKUP($C17,Data!$A32:$H33,6,),0)</f>
        <v>20</v>
      </c>
      <c r="I17" s="116"/>
      <c r="J17" s="117">
        <f t="shared" si="1"/>
        <v>98</v>
      </c>
      <c r="K17" s="127"/>
    </row>
    <row r="18" spans="1:12" x14ac:dyDescent="0.5">
      <c r="A18" s="109" t="str">
        <f>IFERROR(VLOOKUP($C18,Data!$A46:$I47,9,),0)</f>
        <v>520080070000001</v>
      </c>
      <c r="B18" s="125" t="s">
        <v>120</v>
      </c>
      <c r="C18" s="120" t="s">
        <v>92</v>
      </c>
      <c r="D18" s="126" t="s">
        <v>75</v>
      </c>
      <c r="E18" s="113">
        <f>IFERROR(VLOOKUP($C18,Data!$A46:$H47,7,),0)</f>
        <v>14.700000000000001</v>
      </c>
      <c r="F18" s="114">
        <f t="shared" si="0"/>
        <v>0.7350000000000001</v>
      </c>
      <c r="G18" s="114">
        <f>IFERROR(VLOOKUP($C18,Data!$A46:$H47,5,),0)*F18</f>
        <v>7.3500000000000015E-3</v>
      </c>
      <c r="H18" s="115">
        <f>IFERROR(VLOOKUP($C18,Data!$A46:$H47,6,),0)</f>
        <v>2</v>
      </c>
      <c r="I18" s="116"/>
      <c r="J18" s="117">
        <f t="shared" si="1"/>
        <v>29.400000000000002</v>
      </c>
      <c r="K18" s="129"/>
    </row>
    <row r="19" spans="1:12" ht="20.399999999999999" x14ac:dyDescent="0.55000000000000004">
      <c r="A19" s="92" t="str">
        <f>IFERROR(VLOOKUP($C19,Data!$A40:$I44,9,),0)</f>
        <v>220050040012502</v>
      </c>
      <c r="B19" s="70" t="s">
        <v>124</v>
      </c>
      <c r="C19" s="41" t="s">
        <v>159</v>
      </c>
      <c r="D19" s="77" t="s">
        <v>104</v>
      </c>
      <c r="E19" s="10">
        <f>IFERROR(VLOOKUP($C19,Data!$A40:$H44,7,),0)</f>
        <v>58.333333333333336</v>
      </c>
      <c r="F19" s="66">
        <f t="shared" si="0"/>
        <v>2.916666666666667</v>
      </c>
      <c r="G19" s="66">
        <f>IFERROR(VLOOKUP($C19,Data!$A40:$H44,5,),0)*F19</f>
        <v>6.533333333333335</v>
      </c>
      <c r="H19" s="7">
        <f>IFERROR(VLOOKUP($C19,Data!$A40:$H44,6,),0)</f>
        <v>230</v>
      </c>
      <c r="I19" s="51"/>
      <c r="J19" s="9">
        <f t="shared" si="1"/>
        <v>13416.666666666668</v>
      </c>
      <c r="K19" s="35"/>
    </row>
    <row r="20" spans="1:12" hidden="1" x14ac:dyDescent="0.5">
      <c r="A20" s="92">
        <f>IFERROR(VLOOKUP($C20,Data!$A49:$I53,9,),0)</f>
        <v>0</v>
      </c>
      <c r="B20" s="78" t="s">
        <v>121</v>
      </c>
      <c r="C20" s="41"/>
      <c r="D20" s="79" t="s">
        <v>113</v>
      </c>
      <c r="E20" s="10">
        <f>IFERROR(VLOOKUP($C20,Data!$A49:$H53,7,),0)</f>
        <v>0</v>
      </c>
      <c r="F20" s="66">
        <f t="shared" si="0"/>
        <v>0</v>
      </c>
      <c r="G20" s="66">
        <f>IFERROR(VLOOKUP($C20,Data!$A49:$H53,5,),0)*F20</f>
        <v>0</v>
      </c>
      <c r="H20" s="7">
        <f>IFERROR(VLOOKUP($C20,Data!$A49:$H53,6,),0)</f>
        <v>0</v>
      </c>
      <c r="I20" s="51"/>
      <c r="J20" s="9">
        <f t="shared" si="1"/>
        <v>0</v>
      </c>
      <c r="K20" s="38"/>
    </row>
    <row r="21" spans="1:12" x14ac:dyDescent="0.5">
      <c r="A21" s="90"/>
      <c r="B21" s="78"/>
      <c r="C21" s="81"/>
      <c r="D21" s="82"/>
      <c r="E21" s="83"/>
      <c r="F21" s="84"/>
      <c r="G21" s="84"/>
      <c r="H21" s="85"/>
      <c r="I21" s="86"/>
      <c r="J21" s="87"/>
      <c r="K21" s="38"/>
    </row>
    <row r="22" spans="1:12" ht="20.399999999999999" thickBot="1" x14ac:dyDescent="0.55000000000000004">
      <c r="A22" s="49"/>
      <c r="B22" s="71"/>
      <c r="C22" s="53"/>
      <c r="D22" s="13"/>
      <c r="E22" s="13"/>
      <c r="F22" s="13"/>
      <c r="G22" s="13"/>
      <c r="H22" s="13"/>
      <c r="I22" s="13" t="s">
        <v>45</v>
      </c>
      <c r="J22" s="13"/>
      <c r="K22" s="39"/>
    </row>
    <row r="23" spans="1:12" ht="21" thickBot="1" x14ac:dyDescent="0.6">
      <c r="A23" s="14" t="s">
        <v>8</v>
      </c>
      <c r="E23" s="15"/>
      <c r="F23" s="15" t="s">
        <v>79</v>
      </c>
      <c r="G23" s="69">
        <f>SUM(G10:G22)</f>
        <v>7.5774533333333354</v>
      </c>
      <c r="H23" s="15" t="s">
        <v>82</v>
      </c>
      <c r="J23" s="13">
        <f>SUM($J10:$J22)</f>
        <v>16961.291666666668</v>
      </c>
      <c r="K23" s="40"/>
      <c r="L23" s="4"/>
    </row>
    <row r="24" spans="1:12" ht="20.399999999999999" x14ac:dyDescent="0.55000000000000004">
      <c r="B24" s="14"/>
      <c r="E24" s="15"/>
      <c r="F24" s="15" t="s">
        <v>80</v>
      </c>
      <c r="G24" s="69">
        <f>$G$23/$D$5</f>
        <v>0.37887266666666675</v>
      </c>
      <c r="H24" s="15" t="s">
        <v>78</v>
      </c>
      <c r="J24" s="67">
        <f>$J$23/$D$5</f>
        <v>848.06458333333342</v>
      </c>
      <c r="K24" s="6"/>
      <c r="L24" s="4"/>
    </row>
    <row r="25" spans="1:12" x14ac:dyDescent="0.5">
      <c r="A25" s="24" t="s">
        <v>21</v>
      </c>
    </row>
    <row r="26" spans="1:12" ht="21" x14ac:dyDescent="0.6">
      <c r="A26" s="23" t="s">
        <v>22</v>
      </c>
    </row>
    <row r="27" spans="1:12" ht="21" x14ac:dyDescent="0.6">
      <c r="A27" s="23" t="s">
        <v>76</v>
      </c>
    </row>
    <row r="28" spans="1:12" ht="21" x14ac:dyDescent="0.6">
      <c r="A28" s="23" t="s">
        <v>24</v>
      </c>
    </row>
  </sheetData>
  <mergeCells count="6">
    <mergeCell ref="B3:K3"/>
    <mergeCell ref="B1:K1"/>
    <mergeCell ref="B9:C9"/>
    <mergeCell ref="A7:C7"/>
    <mergeCell ref="A5:C5"/>
    <mergeCell ref="A4:C4"/>
  </mergeCells>
  <pageMargins left="0.28999999999999998" right="0.15748031496062992" top="0.39370078740157483" bottom="0.39370078740157483" header="0.51181102362204722" footer="0.51181102362204722"/>
  <pageSetup paperSize="9" scale="80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Data!$A$35:$A$38</xm:f>
          </x14:formula1>
          <xm:sqref>C13</xm:sqref>
        </x14:dataValidation>
        <x14:dataValidation type="list" allowBlank="1" showInputMessage="1" showErrorMessage="1">
          <x14:formula1>
            <xm:f>Data!$A$26:$A$27</xm:f>
          </x14:formula1>
          <xm:sqref>C15</xm:sqref>
        </x14:dataValidation>
        <x14:dataValidation type="list" allowBlank="1" showInputMessage="1" showErrorMessage="1">
          <x14:formula1>
            <xm:f>Data!$A$29:$A$30</xm:f>
          </x14:formula1>
          <xm:sqref>C16</xm:sqref>
        </x14:dataValidation>
        <x14:dataValidation type="list" allowBlank="1" showInputMessage="1" showErrorMessage="1">
          <x14:formula1>
            <xm:f>Data!$A$32:$A$33</xm:f>
          </x14:formula1>
          <xm:sqref>C17</xm:sqref>
        </x14:dataValidation>
        <x14:dataValidation type="list" allowBlank="1" showInputMessage="1" showErrorMessage="1">
          <x14:formula1>
            <xm:f>Data!$A$46:$A$47</xm:f>
          </x14:formula1>
          <xm:sqref>C18</xm:sqref>
        </x14:dataValidation>
        <x14:dataValidation type="list" allowBlank="1" showInputMessage="1" showErrorMessage="1">
          <x14:formula1>
            <xm:f>Data!$A$49:$A$53</xm:f>
          </x14:formula1>
          <xm:sqref>C20</xm:sqref>
        </x14:dataValidation>
        <x14:dataValidation type="list" allowBlank="1" showInputMessage="1" showErrorMessage="1">
          <x14:formula1>
            <xm:f>Data!$A$2:$A$7</xm:f>
          </x14:formula1>
          <xm:sqref>C10</xm:sqref>
        </x14:dataValidation>
        <x14:dataValidation type="list" allowBlank="1" showInputMessage="1" showErrorMessage="1">
          <x14:formula1>
            <xm:f>Data!$A$9:$A$14</xm:f>
          </x14:formula1>
          <xm:sqref>C11</xm:sqref>
        </x14:dataValidation>
        <x14:dataValidation type="list" allowBlank="1" showInputMessage="1" showErrorMessage="1">
          <x14:formula1>
            <xm:f>Data!$A$23:$A$24</xm:f>
          </x14:formula1>
          <xm:sqref>C14</xm:sqref>
        </x14:dataValidation>
        <x14:dataValidation type="list" allowBlank="1" showInputMessage="1" showErrorMessage="1">
          <x14:formula1>
            <xm:f>Data!$A$16:$A$21</xm:f>
          </x14:formula1>
          <xm:sqref>C12</xm:sqref>
        </x14:dataValidation>
        <x14:dataValidation type="list" allowBlank="1" showInputMessage="1" showErrorMessage="1">
          <x14:formula1>
            <xm:f>Data!$A$40:$A$44</xm:f>
          </x14:formula1>
          <xm:sqref>C19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2"/>
  <sheetViews>
    <sheetView topLeftCell="A38" zoomScale="130" zoomScaleNormal="130" workbookViewId="0">
      <selection activeCell="A44" sqref="A44:XFD50"/>
    </sheetView>
  </sheetViews>
  <sheetFormatPr defaultRowHeight="19.8" x14ac:dyDescent="0.5"/>
  <cols>
    <col min="1" max="1" width="42.625" customWidth="1"/>
    <col min="6" max="6" width="9.375" style="72"/>
    <col min="7" max="7" width="13.125" style="73" bestFit="1" customWidth="1"/>
    <col min="8" max="8" width="13.125" style="73" customWidth="1"/>
    <col min="9" max="9" width="16.5" style="88" bestFit="1" customWidth="1"/>
    <col min="10" max="10" width="13.125" customWidth="1"/>
  </cols>
  <sheetData>
    <row r="1" spans="1:9" ht="20.399999999999999" x14ac:dyDescent="0.55000000000000004">
      <c r="A1" s="74" t="s">
        <v>91</v>
      </c>
      <c r="B1" t="s">
        <v>83</v>
      </c>
      <c r="C1" t="s">
        <v>84</v>
      </c>
      <c r="D1" s="75" t="s">
        <v>94</v>
      </c>
      <c r="E1" t="s">
        <v>85</v>
      </c>
      <c r="G1" s="73" t="s">
        <v>86</v>
      </c>
    </row>
    <row r="2" spans="1:9" x14ac:dyDescent="0.5">
      <c r="A2" s="75" t="s">
        <v>176</v>
      </c>
      <c r="B2">
        <v>3600</v>
      </c>
      <c r="C2" s="76" t="s">
        <v>125</v>
      </c>
      <c r="D2">
        <v>0.35</v>
      </c>
      <c r="E2">
        <v>1.25</v>
      </c>
      <c r="F2" s="72">
        <v>108</v>
      </c>
      <c r="G2" s="80">
        <f>ROUNDUP((('T-bar'!$J$4)/1.2*'T-bar'!$J$5/($B2/1000)),)*(1+'T-bar'!$J$8)</f>
        <v>5.25</v>
      </c>
      <c r="I2" s="89" t="s">
        <v>126</v>
      </c>
    </row>
    <row r="3" spans="1:9" x14ac:dyDescent="0.5">
      <c r="A3" s="75" t="s">
        <v>177</v>
      </c>
      <c r="B3">
        <v>3630</v>
      </c>
      <c r="C3" s="76" t="s">
        <v>125</v>
      </c>
      <c r="D3">
        <v>0.35</v>
      </c>
      <c r="E3">
        <v>1.28</v>
      </c>
      <c r="F3" s="72">
        <v>108</v>
      </c>
      <c r="G3" s="80">
        <f>ROUNDUP((('T-bar'!$J$4)/1.2*'T-bar'!$J$5/($B3/1000)),)*(1+'T-bar'!$J$8)</f>
        <v>5.25</v>
      </c>
      <c r="I3" s="89" t="s">
        <v>127</v>
      </c>
    </row>
    <row r="4" spans="1:9" x14ac:dyDescent="0.5">
      <c r="A4" s="75" t="s">
        <v>178</v>
      </c>
      <c r="B4">
        <v>3600</v>
      </c>
      <c r="C4" s="76" t="s">
        <v>128</v>
      </c>
      <c r="D4">
        <v>0.35</v>
      </c>
      <c r="E4">
        <v>1.48</v>
      </c>
      <c r="F4" s="72">
        <v>126</v>
      </c>
      <c r="G4" s="80">
        <f>ROUNDUP((('T-bar'!$J$4)/1.2*'T-bar'!$J$5/($B4/1000)),)*(1+'T-bar'!$J$8)</f>
        <v>5.25</v>
      </c>
      <c r="I4" s="89" t="s">
        <v>129</v>
      </c>
    </row>
    <row r="5" spans="1:9" x14ac:dyDescent="0.5">
      <c r="A5" s="75" t="s">
        <v>179</v>
      </c>
      <c r="B5">
        <v>3630</v>
      </c>
      <c r="C5" s="76" t="s">
        <v>128</v>
      </c>
      <c r="D5">
        <v>0.35</v>
      </c>
      <c r="E5">
        <v>1.52</v>
      </c>
      <c r="F5" s="72">
        <v>126</v>
      </c>
      <c r="G5" s="80">
        <f>ROUNDUP((('T-bar'!$J$4)/1.2*'T-bar'!$J$5/($B5/1000)),)*(1+'T-bar'!$J$8)</f>
        <v>5.25</v>
      </c>
      <c r="I5" s="89" t="s">
        <v>130</v>
      </c>
    </row>
    <row r="6" spans="1:9" x14ac:dyDescent="0.5">
      <c r="A6" s="75" t="s">
        <v>180</v>
      </c>
      <c r="B6">
        <v>3600</v>
      </c>
      <c r="C6" s="76" t="s">
        <v>131</v>
      </c>
      <c r="D6">
        <v>0.3</v>
      </c>
      <c r="E6">
        <v>0.85</v>
      </c>
      <c r="F6" s="72">
        <v>145</v>
      </c>
      <c r="G6" s="80">
        <f>ROUNDUP((('T-bar'!$J$4)/1.2*'T-bar'!$J$5/($B6/1000)),)*(1+'T-bar'!$J$8)</f>
        <v>5.25</v>
      </c>
      <c r="I6" s="89" t="s">
        <v>132</v>
      </c>
    </row>
    <row r="7" spans="1:9" x14ac:dyDescent="0.5">
      <c r="A7" s="75"/>
      <c r="C7" s="76"/>
      <c r="G7" s="80"/>
    </row>
    <row r="8" spans="1:9" ht="20.399999999999999" x14ac:dyDescent="0.55000000000000004">
      <c r="A8" s="74" t="s">
        <v>134</v>
      </c>
      <c r="B8" t="s">
        <v>83</v>
      </c>
      <c r="C8" t="s">
        <v>84</v>
      </c>
      <c r="D8" s="75" t="s">
        <v>94</v>
      </c>
      <c r="E8" t="s">
        <v>85</v>
      </c>
      <c r="G8" s="73" t="s">
        <v>86</v>
      </c>
    </row>
    <row r="9" spans="1:9" x14ac:dyDescent="0.5">
      <c r="A9" s="75" t="s">
        <v>133</v>
      </c>
      <c r="B9">
        <v>600</v>
      </c>
      <c r="C9" s="76" t="s">
        <v>125</v>
      </c>
      <c r="D9">
        <v>0.35</v>
      </c>
      <c r="E9">
        <v>0.21</v>
      </c>
      <c r="F9" s="72">
        <v>18.5</v>
      </c>
      <c r="G9" s="80">
        <f>ROUNDUP((('T-bar'!$J$4)/1.2*'T-bar'!$J$5/($B9/1000)),)*(1+'T-bar'!$J$8)</f>
        <v>29.400000000000002</v>
      </c>
      <c r="I9" s="89" t="s">
        <v>136</v>
      </c>
    </row>
    <row r="10" spans="1:9" x14ac:dyDescent="0.5">
      <c r="A10" s="75" t="s">
        <v>170</v>
      </c>
      <c r="B10">
        <v>605</v>
      </c>
      <c r="C10" s="76" t="s">
        <v>125</v>
      </c>
      <c r="D10">
        <v>0.35</v>
      </c>
      <c r="E10">
        <v>0.22</v>
      </c>
      <c r="F10" s="72">
        <v>18.5</v>
      </c>
      <c r="G10" s="80">
        <f>ROUNDUP((('T-bar'!$J$4)/1.2*'T-bar'!$J$5/($B10/1000)),)*(1+'T-bar'!$J$8)</f>
        <v>29.400000000000002</v>
      </c>
      <c r="I10" s="89" t="s">
        <v>137</v>
      </c>
    </row>
    <row r="11" spans="1:9" x14ac:dyDescent="0.5">
      <c r="A11" s="75" t="s">
        <v>138</v>
      </c>
      <c r="B11">
        <v>600</v>
      </c>
      <c r="C11" s="76" t="s">
        <v>128</v>
      </c>
      <c r="D11">
        <v>0.35</v>
      </c>
      <c r="E11">
        <v>0.25</v>
      </c>
      <c r="F11" s="72">
        <v>21</v>
      </c>
      <c r="G11" s="80">
        <f>ROUNDUP((('T-bar'!$J$4)/1.2*'T-bar'!$J$5/($B11/1000)),)*(1+'T-bar'!$J$8)</f>
        <v>29.400000000000002</v>
      </c>
      <c r="I11" s="89" t="s">
        <v>140</v>
      </c>
    </row>
    <row r="12" spans="1:9" x14ac:dyDescent="0.5">
      <c r="A12" s="75" t="s">
        <v>171</v>
      </c>
      <c r="B12">
        <v>605</v>
      </c>
      <c r="C12" s="76" t="s">
        <v>128</v>
      </c>
      <c r="D12">
        <v>0.35</v>
      </c>
      <c r="E12">
        <v>0.26</v>
      </c>
      <c r="F12" s="72">
        <v>21</v>
      </c>
      <c r="G12" s="80">
        <f>ROUNDUP((('T-bar'!$J$4)/1.2*'T-bar'!$J$5/($B12/1000)),)*(1+'T-bar'!$J$8)</f>
        <v>29.400000000000002</v>
      </c>
      <c r="I12" s="89" t="s">
        <v>141</v>
      </c>
    </row>
    <row r="13" spans="1:9" x14ac:dyDescent="0.5">
      <c r="A13" s="75" t="s">
        <v>172</v>
      </c>
      <c r="B13">
        <v>600</v>
      </c>
      <c r="C13" s="76" t="s">
        <v>139</v>
      </c>
      <c r="D13">
        <v>0.3</v>
      </c>
      <c r="E13">
        <v>0.13</v>
      </c>
      <c r="F13" s="72">
        <v>23</v>
      </c>
      <c r="G13" s="80">
        <f>ROUNDUP((('T-bar'!$J$4)/1.2*'T-bar'!$J$5/($B13/1000)),)*(1+'T-bar'!$J$8)</f>
        <v>29.400000000000002</v>
      </c>
      <c r="I13" s="89" t="s">
        <v>142</v>
      </c>
    </row>
    <row r="15" spans="1:9" ht="20.399999999999999" x14ac:dyDescent="0.55000000000000004">
      <c r="A15" s="74" t="s">
        <v>135</v>
      </c>
      <c r="B15" t="s">
        <v>83</v>
      </c>
      <c r="C15" t="s">
        <v>84</v>
      </c>
      <c r="D15" s="75" t="s">
        <v>94</v>
      </c>
      <c r="E15" t="s">
        <v>85</v>
      </c>
      <c r="G15" s="73" t="s">
        <v>86</v>
      </c>
    </row>
    <row r="16" spans="1:9" x14ac:dyDescent="0.5">
      <c r="A16" s="75" t="s">
        <v>168</v>
      </c>
      <c r="B16">
        <v>1200</v>
      </c>
      <c r="C16" s="76" t="s">
        <v>125</v>
      </c>
      <c r="D16">
        <v>0.35</v>
      </c>
      <c r="E16">
        <v>0.41</v>
      </c>
      <c r="F16" s="72">
        <v>37</v>
      </c>
      <c r="G16" s="80">
        <f>ROUNDUP((('T-bar'!$J$5)/0.6*'T-bar'!$J$4/($B16/1000)),)*(1+'T-bar'!$J$8)</f>
        <v>29.400000000000002</v>
      </c>
      <c r="I16" s="89" t="s">
        <v>143</v>
      </c>
    </row>
    <row r="17" spans="1:9" x14ac:dyDescent="0.5">
      <c r="A17" s="75" t="s">
        <v>173</v>
      </c>
      <c r="B17">
        <v>1210</v>
      </c>
      <c r="C17" s="76" t="s">
        <v>125</v>
      </c>
      <c r="D17">
        <v>0.35</v>
      </c>
      <c r="E17">
        <v>0.42</v>
      </c>
      <c r="F17" s="72">
        <v>37</v>
      </c>
      <c r="G17" s="80">
        <f>ROUNDUP((('T-bar'!$J$5)/0.6*'T-bar'!$J$4/($B17/1000)),)*(1+'T-bar'!$J$8)</f>
        <v>29.400000000000002</v>
      </c>
      <c r="I17" s="89" t="s">
        <v>144</v>
      </c>
    </row>
    <row r="18" spans="1:9" x14ac:dyDescent="0.5">
      <c r="A18" s="75" t="s">
        <v>169</v>
      </c>
      <c r="B18">
        <v>1200</v>
      </c>
      <c r="C18" s="76" t="s">
        <v>128</v>
      </c>
      <c r="D18">
        <v>0.35</v>
      </c>
      <c r="E18">
        <v>0.49</v>
      </c>
      <c r="F18" s="72">
        <v>42</v>
      </c>
      <c r="G18" s="80">
        <f>ROUNDUP((('T-bar'!$J$5)/0.6*'T-bar'!$J$4/($B18/1000)),)*(1+'T-bar'!$J$8)</f>
        <v>29.400000000000002</v>
      </c>
      <c r="I18" s="89" t="s">
        <v>145</v>
      </c>
    </row>
    <row r="19" spans="1:9" x14ac:dyDescent="0.5">
      <c r="A19" s="75" t="s">
        <v>174</v>
      </c>
      <c r="B19">
        <v>1210</v>
      </c>
      <c r="C19" s="76" t="s">
        <v>128</v>
      </c>
      <c r="D19">
        <v>0.35</v>
      </c>
      <c r="E19">
        <v>0.5</v>
      </c>
      <c r="F19" s="72">
        <v>42</v>
      </c>
      <c r="G19" s="80">
        <f>ROUNDUP((('T-bar'!$J$5)/0.6*'T-bar'!$J$4/($B19/1000)),)*(1+'T-bar'!$J$8)</f>
        <v>29.400000000000002</v>
      </c>
      <c r="I19" s="89" t="s">
        <v>146</v>
      </c>
    </row>
    <row r="20" spans="1:9" x14ac:dyDescent="0.5">
      <c r="A20" s="75" t="s">
        <v>175</v>
      </c>
      <c r="B20">
        <v>1200</v>
      </c>
      <c r="C20" s="76" t="s">
        <v>139</v>
      </c>
      <c r="D20">
        <v>0.3</v>
      </c>
      <c r="E20">
        <v>0.25</v>
      </c>
      <c r="F20" s="72">
        <v>45</v>
      </c>
      <c r="G20" s="80">
        <f>ROUNDUP((('T-bar'!$J$5)/0.6*'T-bar'!$J$4/($B20/1000)),)*(1+'T-bar'!$J$8)</f>
        <v>29.400000000000002</v>
      </c>
      <c r="I20" s="89" t="s">
        <v>147</v>
      </c>
    </row>
    <row r="21" spans="1:9" x14ac:dyDescent="0.5">
      <c r="A21" s="75"/>
      <c r="C21" s="76"/>
      <c r="G21" s="80"/>
      <c r="I21" s="89"/>
    </row>
    <row r="22" spans="1:9" ht="20.399999999999999" x14ac:dyDescent="0.55000000000000004">
      <c r="A22" s="74" t="s">
        <v>102</v>
      </c>
      <c r="B22" t="s">
        <v>83</v>
      </c>
      <c r="C22" t="s">
        <v>84</v>
      </c>
      <c r="D22" s="75" t="s">
        <v>94</v>
      </c>
      <c r="E22" t="s">
        <v>85</v>
      </c>
      <c r="G22" s="73" t="s">
        <v>86</v>
      </c>
    </row>
    <row r="23" spans="1:9" x14ac:dyDescent="0.5">
      <c r="A23" s="75" t="s">
        <v>158</v>
      </c>
      <c r="B23">
        <v>200</v>
      </c>
      <c r="C23">
        <v>4</v>
      </c>
      <c r="D23">
        <v>4</v>
      </c>
      <c r="E23">
        <v>0.02</v>
      </c>
      <c r="F23" s="72">
        <v>2.5</v>
      </c>
      <c r="G23" s="80">
        <f>(ROUNDUP('T-bar'!$D$5/(1.2*1.2),))*(1+'T-bar'!$J$8)</f>
        <v>14.700000000000001</v>
      </c>
      <c r="I23" s="89" t="s">
        <v>105</v>
      </c>
    </row>
    <row r="25" spans="1:9" ht="20.399999999999999" x14ac:dyDescent="0.55000000000000004">
      <c r="A25" s="74" t="s">
        <v>87</v>
      </c>
      <c r="B25" t="s">
        <v>83</v>
      </c>
      <c r="C25" t="s">
        <v>84</v>
      </c>
      <c r="D25" s="75" t="s">
        <v>94</v>
      </c>
      <c r="E25" t="s">
        <v>85</v>
      </c>
      <c r="G25" s="73" t="s">
        <v>86</v>
      </c>
    </row>
    <row r="26" spans="1:9" x14ac:dyDescent="0.5">
      <c r="A26" s="75" t="s">
        <v>87</v>
      </c>
      <c r="B26">
        <v>25</v>
      </c>
      <c r="C26">
        <v>25</v>
      </c>
      <c r="E26">
        <v>1.7999999999999999E-2</v>
      </c>
      <c r="F26" s="72">
        <v>2.25</v>
      </c>
      <c r="G26" s="80">
        <f>(ROUNDUP('T-bar'!$D$5/(1.2*1.2),))*(1+'T-bar'!$J$8)</f>
        <v>14.700000000000001</v>
      </c>
      <c r="I26" s="89" t="s">
        <v>106</v>
      </c>
    </row>
    <row r="28" spans="1:9" ht="20.399999999999999" x14ac:dyDescent="0.55000000000000004">
      <c r="A28" s="74" t="s">
        <v>88</v>
      </c>
      <c r="B28" t="s">
        <v>83</v>
      </c>
      <c r="C28" t="s">
        <v>84</v>
      </c>
      <c r="D28" s="75" t="s">
        <v>94</v>
      </c>
      <c r="E28" t="s">
        <v>85</v>
      </c>
      <c r="G28" s="73" t="s">
        <v>86</v>
      </c>
    </row>
    <row r="29" spans="1:9" x14ac:dyDescent="0.5">
      <c r="A29" s="75" t="s">
        <v>89</v>
      </c>
      <c r="B29">
        <v>90</v>
      </c>
      <c r="C29">
        <v>19</v>
      </c>
      <c r="E29">
        <v>8.9999999999999993E-3</v>
      </c>
      <c r="F29" s="72">
        <v>6</v>
      </c>
      <c r="G29" s="80">
        <f>(ROUNDUP('T-bar'!$D$5/(1.2*1.2),))*(1+'T-bar'!$J$8)</f>
        <v>14.700000000000001</v>
      </c>
      <c r="I29" s="89" t="s">
        <v>107</v>
      </c>
    </row>
    <row r="31" spans="1:9" ht="20.399999999999999" x14ac:dyDescent="0.55000000000000004">
      <c r="A31" s="74" t="s">
        <v>90</v>
      </c>
      <c r="B31" t="s">
        <v>83</v>
      </c>
      <c r="C31" t="s">
        <v>84</v>
      </c>
      <c r="D31" s="75" t="s">
        <v>94</v>
      </c>
      <c r="E31" t="s">
        <v>85</v>
      </c>
      <c r="G31" s="73" t="s">
        <v>86</v>
      </c>
    </row>
    <row r="32" spans="1:9" x14ac:dyDescent="0.5">
      <c r="A32" s="75" t="s">
        <v>103</v>
      </c>
      <c r="B32">
        <v>3000</v>
      </c>
      <c r="D32">
        <v>4</v>
      </c>
      <c r="E32">
        <v>0.3</v>
      </c>
      <c r="F32" s="72">
        <v>20</v>
      </c>
      <c r="G32" s="80">
        <f>((ROUNDUP('T-bar'!$D$5/(1.2*1.2),))*'T-bar'!$D$7/($B32/1000))*(1+'T-bar'!$J$8)</f>
        <v>4.9000000000000004</v>
      </c>
      <c r="I32" s="89" t="s">
        <v>108</v>
      </c>
    </row>
    <row r="34" spans="1:9" ht="20.399999999999999" x14ac:dyDescent="0.55000000000000004">
      <c r="A34" s="74" t="s">
        <v>148</v>
      </c>
      <c r="B34" t="s">
        <v>83</v>
      </c>
      <c r="C34" t="s">
        <v>84</v>
      </c>
      <c r="E34" t="s">
        <v>85</v>
      </c>
    </row>
    <row r="35" spans="1:9" x14ac:dyDescent="0.5">
      <c r="A35" s="75" t="s">
        <v>150</v>
      </c>
      <c r="B35">
        <v>3600</v>
      </c>
      <c r="C35" s="76" t="s">
        <v>149</v>
      </c>
      <c r="D35">
        <v>0.5</v>
      </c>
      <c r="E35">
        <v>0.73</v>
      </c>
      <c r="F35" s="72">
        <v>85</v>
      </c>
      <c r="G35" s="73">
        <f>(ROUNDUP((('T-bar'!$J$4+'T-bar'!$J$5)*2)/($B35/1000),))*(1+'T-bar'!$J$8)</f>
        <v>5.25</v>
      </c>
      <c r="I35" s="89" t="s">
        <v>157</v>
      </c>
    </row>
    <row r="36" spans="1:9" x14ac:dyDescent="0.5">
      <c r="A36" s="75" t="s">
        <v>151</v>
      </c>
      <c r="B36">
        <v>3600</v>
      </c>
      <c r="C36" s="76" t="s">
        <v>153</v>
      </c>
      <c r="D36">
        <v>0.45</v>
      </c>
      <c r="E36">
        <v>0.56000000000000005</v>
      </c>
      <c r="F36" s="72">
        <v>95</v>
      </c>
      <c r="G36" s="73">
        <f>(ROUNDUP((('T-bar'!$J$4+'T-bar'!$J$5)*2)/($B36/1000),))*(1+'T-bar'!$J$8)</f>
        <v>5.25</v>
      </c>
      <c r="I36" s="89" t="s">
        <v>155</v>
      </c>
    </row>
    <row r="37" spans="1:9" x14ac:dyDescent="0.5">
      <c r="A37" s="75" t="s">
        <v>152</v>
      </c>
      <c r="B37">
        <v>3600</v>
      </c>
      <c r="C37" s="76" t="s">
        <v>154</v>
      </c>
      <c r="D37">
        <v>0.45</v>
      </c>
      <c r="E37">
        <v>0.4</v>
      </c>
      <c r="F37" s="72">
        <v>110</v>
      </c>
      <c r="G37" s="73">
        <f>(ROUNDUP((('T-bar'!$J$4+'T-bar'!$J$5)*2)/($B37/1000),))*(1+'T-bar'!$J$8)</f>
        <v>5.25</v>
      </c>
      <c r="I37" s="89" t="s">
        <v>156</v>
      </c>
    </row>
    <row r="39" spans="1:9" ht="20.399999999999999" x14ac:dyDescent="0.55000000000000004">
      <c r="A39" s="74" t="s">
        <v>93</v>
      </c>
      <c r="B39" t="s">
        <v>83</v>
      </c>
      <c r="C39" t="s">
        <v>84</v>
      </c>
      <c r="D39" t="s">
        <v>94</v>
      </c>
      <c r="E39" t="s">
        <v>85</v>
      </c>
      <c r="G39" s="73" t="s">
        <v>86</v>
      </c>
    </row>
    <row r="40" spans="1:9" x14ac:dyDescent="0.5">
      <c r="A40" t="s">
        <v>159</v>
      </c>
      <c r="B40">
        <v>600</v>
      </c>
      <c r="C40">
        <v>600</v>
      </c>
      <c r="D40">
        <v>10</v>
      </c>
      <c r="E40">
        <v>2.2400000000000002</v>
      </c>
      <c r="F40" s="72">
        <v>230</v>
      </c>
      <c r="G40" s="80">
        <f>'T-bar'!$D$6/($B40/1000*$C40/1000)*(1+'T-bar'!$J$8)</f>
        <v>58.333333333333336</v>
      </c>
      <c r="I40" s="88" t="s">
        <v>163</v>
      </c>
    </row>
    <row r="41" spans="1:9" x14ac:dyDescent="0.5">
      <c r="A41" t="s">
        <v>160</v>
      </c>
      <c r="B41">
        <v>600</v>
      </c>
      <c r="C41">
        <v>600</v>
      </c>
      <c r="D41">
        <v>10</v>
      </c>
      <c r="E41">
        <v>2.2400000000000002</v>
      </c>
      <c r="F41" s="72">
        <v>230</v>
      </c>
      <c r="G41" s="80">
        <f>'T-bar'!$D$6/($B41/1000*$C41/1000)*(1+'T-bar'!$J$8)</f>
        <v>58.333333333333336</v>
      </c>
      <c r="I41" s="88" t="s">
        <v>164</v>
      </c>
    </row>
    <row r="42" spans="1:9" x14ac:dyDescent="0.5">
      <c r="A42" t="s">
        <v>161</v>
      </c>
      <c r="B42">
        <v>600</v>
      </c>
      <c r="C42">
        <v>600</v>
      </c>
      <c r="D42">
        <v>10</v>
      </c>
      <c r="E42">
        <v>2.2400000000000002</v>
      </c>
      <c r="F42" s="72">
        <v>230</v>
      </c>
      <c r="G42" s="80">
        <f>'T-bar'!$D$6/($B42/1000*$C42/1000)*(1+'T-bar'!$J$8)</f>
        <v>58.333333333333336</v>
      </c>
      <c r="I42" s="88" t="s">
        <v>165</v>
      </c>
    </row>
    <row r="43" spans="1:9" x14ac:dyDescent="0.5">
      <c r="A43" t="s">
        <v>162</v>
      </c>
      <c r="B43">
        <v>600</v>
      </c>
      <c r="C43">
        <v>600</v>
      </c>
      <c r="D43">
        <v>10</v>
      </c>
      <c r="E43">
        <v>2.2400000000000002</v>
      </c>
      <c r="F43" s="72">
        <v>230</v>
      </c>
      <c r="G43" s="80">
        <f>'T-bar'!$D$6/($B43/1000*$C43/1000)*(1+'T-bar'!$J$8)</f>
        <v>58.333333333333336</v>
      </c>
      <c r="I43" s="88" t="s">
        <v>166</v>
      </c>
    </row>
    <row r="45" spans="1:9" ht="20.399999999999999" x14ac:dyDescent="0.55000000000000004">
      <c r="A45" s="74" t="s">
        <v>95</v>
      </c>
      <c r="B45" t="s">
        <v>83</v>
      </c>
      <c r="E45" t="s">
        <v>85</v>
      </c>
      <c r="G45" s="73" t="s">
        <v>86</v>
      </c>
    </row>
    <row r="46" spans="1:9" x14ac:dyDescent="0.5">
      <c r="A46" t="s">
        <v>92</v>
      </c>
      <c r="B46">
        <v>33</v>
      </c>
      <c r="E46">
        <v>0.01</v>
      </c>
      <c r="F46" s="72">
        <v>2</v>
      </c>
      <c r="G46" s="80">
        <f>(ROUNDUP('T-bar'!$D$5/(1.2*1.2),))*(1+'T-bar'!$J$8)</f>
        <v>14.700000000000001</v>
      </c>
      <c r="I46" s="88" t="s">
        <v>109</v>
      </c>
    </row>
    <row r="48" spans="1:9" ht="20.399999999999999" x14ac:dyDescent="0.55000000000000004">
      <c r="A48" s="74" t="s">
        <v>96</v>
      </c>
      <c r="B48" t="s">
        <v>97</v>
      </c>
      <c r="E48" t="s">
        <v>85</v>
      </c>
      <c r="G48" s="73" t="s">
        <v>86</v>
      </c>
    </row>
    <row r="49" spans="1:9" x14ac:dyDescent="0.5">
      <c r="A49" t="s">
        <v>98</v>
      </c>
      <c r="B49">
        <v>1200</v>
      </c>
      <c r="C49">
        <v>15000</v>
      </c>
      <c r="D49">
        <v>50</v>
      </c>
      <c r="E49">
        <v>21.599999999999998</v>
      </c>
      <c r="F49" s="72">
        <v>3270</v>
      </c>
      <c r="G49" s="80">
        <f>'T-bar'!$D$6/($B49/1000*$C49/1000)*(1+'T-bar'!$J$8)</f>
        <v>1.1666666666666667</v>
      </c>
    </row>
    <row r="50" spans="1:9" x14ac:dyDescent="0.5">
      <c r="A50" t="s">
        <v>99</v>
      </c>
      <c r="B50">
        <v>600</v>
      </c>
      <c r="C50">
        <v>1200</v>
      </c>
      <c r="D50">
        <v>50</v>
      </c>
      <c r="E50">
        <v>1.44</v>
      </c>
      <c r="F50" s="72">
        <v>108</v>
      </c>
      <c r="G50" s="80">
        <f>'T-bar'!$D$6/($B50/1000*$C50/1000)*(1+'T-bar'!$J$8)</f>
        <v>29.166666666666668</v>
      </c>
    </row>
    <row r="51" spans="1:9" x14ac:dyDescent="0.5">
      <c r="A51" t="s">
        <v>100</v>
      </c>
      <c r="B51">
        <v>1200</v>
      </c>
      <c r="C51">
        <v>15000</v>
      </c>
      <c r="D51">
        <v>50</v>
      </c>
      <c r="E51">
        <f>24*1.2*15*0.05</f>
        <v>21.599999999999998</v>
      </c>
      <c r="F51" s="72">
        <v>3100</v>
      </c>
      <c r="G51" s="80">
        <f>'T-bar'!$D$6/($B51/1000*$C51/1000)*(1+'T-bar'!$J$8)</f>
        <v>1.1666666666666667</v>
      </c>
      <c r="I51" s="88" t="s">
        <v>110</v>
      </c>
    </row>
    <row r="52" spans="1:9" x14ac:dyDescent="0.5">
      <c r="A52" t="s">
        <v>101</v>
      </c>
      <c r="B52">
        <v>1200</v>
      </c>
      <c r="C52">
        <v>10000</v>
      </c>
      <c r="D52">
        <v>50</v>
      </c>
      <c r="E52">
        <f>40*1.2*10*0.05</f>
        <v>24</v>
      </c>
      <c r="F52" s="72">
        <v>3800</v>
      </c>
      <c r="G52" s="80">
        <f>'T-bar'!$D$6/($B52/1000*$C52/1000)*(1+'T-bar'!$J$8)</f>
        <v>1.7500000000000002</v>
      </c>
      <c r="I52" s="88" t="s">
        <v>111</v>
      </c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B5" sqref="B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1.1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98" t="s">
        <v>60</v>
      </c>
      <c r="B3" s="98"/>
      <c r="C3" s="98"/>
      <c r="D3" s="98"/>
      <c r="E3" s="98"/>
      <c r="F3" s="98"/>
      <c r="G3" s="98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54</v>
      </c>
      <c r="F7" s="46" t="s">
        <v>2</v>
      </c>
      <c r="G7" s="46" t="s">
        <v>9</v>
      </c>
    </row>
    <row r="8" spans="1:7" x14ac:dyDescent="0.5">
      <c r="A8" s="1" t="s">
        <v>48</v>
      </c>
      <c r="B8" s="5" t="s">
        <v>30</v>
      </c>
      <c r="C8" s="10">
        <f>0.33*B5</f>
        <v>0.33</v>
      </c>
      <c r="D8" s="7">
        <f>67*1</f>
        <v>67</v>
      </c>
      <c r="E8" s="51">
        <v>0</v>
      </c>
      <c r="F8" s="9">
        <f>+(D8-(D8*E8))*C8</f>
        <v>22.11</v>
      </c>
      <c r="G8" s="99"/>
    </row>
    <row r="9" spans="1:7" x14ac:dyDescent="0.5">
      <c r="A9" s="1" t="s">
        <v>58</v>
      </c>
      <c r="B9" s="5" t="s">
        <v>30</v>
      </c>
      <c r="C9" s="10">
        <f>0.656*B5</f>
        <v>0.65600000000000003</v>
      </c>
      <c r="D9" s="7">
        <f>67*1</f>
        <v>67</v>
      </c>
      <c r="E9" s="51">
        <v>0</v>
      </c>
      <c r="F9" s="9">
        <f t="shared" ref="F9:F21" si="0">+(D9-(D9*E9))*C9</f>
        <v>43.952000000000005</v>
      </c>
      <c r="G9" s="100"/>
    </row>
    <row r="10" spans="1:7" x14ac:dyDescent="0.5">
      <c r="A10" s="1" t="s">
        <v>51</v>
      </c>
      <c r="B10" s="5" t="s">
        <v>25</v>
      </c>
      <c r="C10" s="5">
        <f>0.3*B5</f>
        <v>0.3</v>
      </c>
      <c r="D10" s="7">
        <f>22*1</f>
        <v>22</v>
      </c>
      <c r="E10" s="51">
        <v>0</v>
      </c>
      <c r="F10" s="9">
        <f t="shared" si="0"/>
        <v>6.6</v>
      </c>
      <c r="G10" s="103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03"/>
    </row>
    <row r="12" spans="1:7" x14ac:dyDescent="0.5">
      <c r="A12" s="1" t="s">
        <v>47</v>
      </c>
      <c r="B12" s="5" t="s">
        <v>3</v>
      </c>
      <c r="C12" s="5">
        <f>1.64*B5</f>
        <v>1.64</v>
      </c>
      <c r="D12" s="7">
        <f>4*1</f>
        <v>4</v>
      </c>
      <c r="E12" s="51">
        <v>0</v>
      </c>
      <c r="F12" s="9">
        <f t="shared" si="0"/>
        <v>6.56</v>
      </c>
      <c r="G12" s="103"/>
    </row>
    <row r="13" spans="1:7" x14ac:dyDescent="0.5">
      <c r="A13" s="1" t="s">
        <v>38</v>
      </c>
      <c r="B13" s="5" t="s">
        <v>3</v>
      </c>
      <c r="C13" s="5">
        <f>1.64*$B$5</f>
        <v>1.64</v>
      </c>
      <c r="D13" s="7">
        <f>2.25*1</f>
        <v>2.25</v>
      </c>
      <c r="E13" s="51">
        <v>0</v>
      </c>
      <c r="F13" s="9">
        <f t="shared" si="0"/>
        <v>3.69</v>
      </c>
      <c r="G13" s="44"/>
    </row>
    <row r="14" spans="1:7" x14ac:dyDescent="0.5">
      <c r="A14" s="1" t="s">
        <v>41</v>
      </c>
      <c r="B14" s="5" t="s">
        <v>3</v>
      </c>
      <c r="C14" s="5">
        <f>1.64*$B$5</f>
        <v>1.64</v>
      </c>
      <c r="D14" s="7">
        <f>4*1</f>
        <v>4</v>
      </c>
      <c r="E14" s="51">
        <v>0</v>
      </c>
      <c r="F14" s="9">
        <f t="shared" si="0"/>
        <v>6.56</v>
      </c>
      <c r="G14" s="44"/>
    </row>
    <row r="15" spans="1:7" x14ac:dyDescent="0.5">
      <c r="A15" s="1" t="s">
        <v>42</v>
      </c>
      <c r="B15" s="5" t="s">
        <v>36</v>
      </c>
      <c r="C15" s="5">
        <f>0.33*B5</f>
        <v>0.33</v>
      </c>
      <c r="D15" s="7">
        <f>20*1</f>
        <v>20</v>
      </c>
      <c r="E15" s="51">
        <v>0</v>
      </c>
      <c r="F15" s="9">
        <f t="shared" si="0"/>
        <v>6.6000000000000005</v>
      </c>
      <c r="G15" s="44"/>
    </row>
    <row r="16" spans="1:7" ht="20.399999999999999" x14ac:dyDescent="0.55000000000000004">
      <c r="A16" s="1" t="s">
        <v>31</v>
      </c>
      <c r="B16" s="5" t="s">
        <v>4</v>
      </c>
      <c r="C16" s="5">
        <f>0.03*B6</f>
        <v>0.03</v>
      </c>
      <c r="D16" s="7">
        <f>95*1</f>
        <v>95</v>
      </c>
      <c r="E16" s="51">
        <v>0</v>
      </c>
      <c r="F16" s="9">
        <f t="shared" si="0"/>
        <v>2.85</v>
      </c>
      <c r="G16" s="35"/>
    </row>
    <row r="17" spans="1:8" x14ac:dyDescent="0.5">
      <c r="A17" s="1" t="s">
        <v>32</v>
      </c>
      <c r="B17" s="5" t="s">
        <v>33</v>
      </c>
      <c r="C17" s="5">
        <f>1.64*$B$5</f>
        <v>1.64</v>
      </c>
      <c r="D17" s="7">
        <f>2*1</f>
        <v>2</v>
      </c>
      <c r="E17" s="51">
        <v>0</v>
      </c>
      <c r="F17" s="9">
        <f t="shared" si="0"/>
        <v>3.28</v>
      </c>
      <c r="G17" s="36"/>
    </row>
    <row r="18" spans="1:8" ht="20.399999999999999" x14ac:dyDescent="0.55000000000000004">
      <c r="A18" s="1" t="s">
        <v>35</v>
      </c>
      <c r="B18" s="5" t="s">
        <v>3</v>
      </c>
      <c r="C18" s="5">
        <f>3.28*B5</f>
        <v>3.28</v>
      </c>
      <c r="D18" s="7">
        <f>1.75*1</f>
        <v>1.75</v>
      </c>
      <c r="E18" s="51">
        <v>0</v>
      </c>
      <c r="F18" s="9">
        <f t="shared" si="0"/>
        <v>5.7399999999999993</v>
      </c>
      <c r="G18" s="35"/>
    </row>
    <row r="19" spans="1:8" ht="20.399999999999999" x14ac:dyDescent="0.55000000000000004">
      <c r="A19" s="1" t="s">
        <v>52</v>
      </c>
      <c r="B19" s="5" t="s">
        <v>7</v>
      </c>
      <c r="C19" s="10">
        <f>0.36*B6</f>
        <v>0.36</v>
      </c>
      <c r="D19" s="7">
        <f>238*1</f>
        <v>238</v>
      </c>
      <c r="E19" s="51">
        <v>0</v>
      </c>
      <c r="F19" s="9">
        <f t="shared" si="0"/>
        <v>85.679999999999993</v>
      </c>
      <c r="G19" s="35"/>
    </row>
    <row r="20" spans="1:8" ht="20.399999999999999" x14ac:dyDescent="0.55000000000000004">
      <c r="A20" s="12" t="s">
        <v>15</v>
      </c>
      <c r="B20" s="34" t="s">
        <v>11</v>
      </c>
      <c r="C20" s="10">
        <f>0.015*B6</f>
        <v>1.4999999999999999E-2</v>
      </c>
      <c r="D20" s="7">
        <f>212*1</f>
        <v>212</v>
      </c>
      <c r="E20" s="51">
        <v>0</v>
      </c>
      <c r="F20" s="9">
        <f t="shared" si="0"/>
        <v>3.1799999999999997</v>
      </c>
      <c r="G20" s="35"/>
    </row>
    <row r="21" spans="1:8" ht="20.399999999999999" x14ac:dyDescent="0.55000000000000004">
      <c r="A21" s="12" t="s">
        <v>13</v>
      </c>
      <c r="B21" s="21" t="s">
        <v>12</v>
      </c>
      <c r="C21" s="10">
        <f>0.05*B6</f>
        <v>0.05</v>
      </c>
      <c r="D21" s="7">
        <f>37*1</f>
        <v>37</v>
      </c>
      <c r="E21" s="51">
        <v>0</v>
      </c>
      <c r="F21" s="9">
        <f t="shared" si="0"/>
        <v>1.85</v>
      </c>
      <c r="G21" s="37"/>
    </row>
    <row r="22" spans="1:8" x14ac:dyDescent="0.5">
      <c r="A22" s="1"/>
      <c r="B22" s="41"/>
      <c r="C22" s="41"/>
      <c r="D22" s="41"/>
      <c r="E22" s="41"/>
      <c r="F22" s="41"/>
      <c r="G22" s="38"/>
    </row>
    <row r="23" spans="1:8" ht="20.399999999999999" thickBot="1" x14ac:dyDescent="0.55000000000000004">
      <c r="A23" s="3"/>
      <c r="B23" s="13"/>
      <c r="C23" s="13"/>
      <c r="D23" s="13"/>
      <c r="E23" s="13"/>
      <c r="F23" s="13"/>
      <c r="G23" s="39"/>
    </row>
    <row r="24" spans="1:8" ht="21" thickBot="1" x14ac:dyDescent="0.6">
      <c r="A24" s="14" t="s">
        <v>8</v>
      </c>
      <c r="C24" s="15"/>
      <c r="D24" s="15" t="s">
        <v>5</v>
      </c>
      <c r="E24" s="15"/>
      <c r="F24" s="16">
        <f>SUM(F6:F23)</f>
        <v>201.852</v>
      </c>
      <c r="G24" s="40"/>
      <c r="H24" s="4"/>
    </row>
    <row r="25" spans="1:8" ht="20.399999999999999" x14ac:dyDescent="0.55000000000000004">
      <c r="A25" s="14"/>
      <c r="C25" s="15"/>
      <c r="D25" s="15"/>
      <c r="E25" s="15"/>
      <c r="F25" s="19"/>
      <c r="G25" s="6"/>
      <c r="H25" s="4"/>
    </row>
    <row r="26" spans="1:8" x14ac:dyDescent="0.5">
      <c r="A26" s="24" t="s">
        <v>21</v>
      </c>
    </row>
    <row r="27" spans="1:8" ht="21" x14ac:dyDescent="0.6">
      <c r="A27" s="23" t="s">
        <v>22</v>
      </c>
    </row>
    <row r="28" spans="1:8" ht="21" x14ac:dyDescent="0.6">
      <c r="A28" s="23" t="s">
        <v>23</v>
      </c>
    </row>
    <row r="29" spans="1:8" ht="21" x14ac:dyDescent="0.6">
      <c r="A29" s="23" t="s">
        <v>24</v>
      </c>
    </row>
  </sheetData>
  <mergeCells count="3">
    <mergeCell ref="A3:G3"/>
    <mergeCell ref="G8:G9"/>
    <mergeCell ref="G10:G12"/>
  </mergeCells>
  <pageMargins left="0.22" right="0.26" top="1" bottom="1" header="0.5" footer="0.5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SuperWall@40</vt:lpstr>
      <vt:lpstr>ML50A-60x40x60cm</vt:lpstr>
      <vt:lpstr>ML 60x60</vt:lpstr>
      <vt:lpstr>T-bar</vt:lpstr>
      <vt:lpstr>Data</vt:lpstr>
      <vt:lpstr>SL40 80x40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Division</dc:creator>
  <cp:lastModifiedBy>CHAROENRAT, Dhittita</cp:lastModifiedBy>
  <cp:lastPrinted>2019-10-21T02:23:02Z</cp:lastPrinted>
  <dcterms:created xsi:type="dcterms:W3CDTF">2000-02-15T08:37:35Z</dcterms:created>
  <dcterms:modified xsi:type="dcterms:W3CDTF">2020-04-07T07:22:53Z</dcterms:modified>
</cp:coreProperties>
</file>