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9192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T-bar" sheetId="80" r:id="rId4"/>
    <sheet name="Data" sheetId="98" r:id="rId5"/>
    <sheet name="SL40 80x40" sheetId="47" state="hidden" r:id="rId6"/>
  </sheets>
  <definedNames>
    <definedName name="_xlnm._FilterDatabase" localSheetId="3" hidden="1">'T-bar'!$A$3:$K$19</definedName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8" i="80" l="1"/>
  <c r="D5" i="80" l="1"/>
  <c r="D6" i="80" s="1"/>
  <c r="D11" i="80" l="1"/>
  <c r="D10" i="80"/>
  <c r="H16" i="80" l="1"/>
  <c r="H13" i="80"/>
  <c r="H10" i="80"/>
  <c r="H11" i="80" l="1"/>
  <c r="A18" i="80" l="1"/>
  <c r="A16" i="80"/>
  <c r="A13" i="80"/>
  <c r="A11" i="80"/>
  <c r="G17" i="98" l="1"/>
  <c r="E11" i="80" s="1"/>
  <c r="G18" i="98"/>
  <c r="G19" i="98"/>
  <c r="G20" i="98"/>
  <c r="G16" i="98"/>
  <c r="G13" i="98"/>
  <c r="G12" i="98"/>
  <c r="G11" i="98"/>
  <c r="G10" i="98"/>
  <c r="G9" i="98"/>
  <c r="G4" i="98"/>
  <c r="G5" i="98"/>
  <c r="G6" i="98"/>
  <c r="G2" i="98"/>
  <c r="G3" i="98"/>
  <c r="G35" i="98"/>
  <c r="E12" i="80" s="1"/>
  <c r="G36" i="98"/>
  <c r="G37" i="98"/>
  <c r="E75" i="98" l="1"/>
  <c r="A10" i="80" l="1"/>
  <c r="A19" i="80"/>
  <c r="A17" i="80"/>
  <c r="A15" i="80"/>
  <c r="A14" i="80"/>
  <c r="A12" i="80"/>
  <c r="H19" i="80" l="1"/>
  <c r="H17" i="80"/>
  <c r="H15" i="80"/>
  <c r="H14" i="80"/>
  <c r="H12" i="80"/>
  <c r="E10" i="80"/>
  <c r="E76" i="98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32" i="98" l="1"/>
  <c r="E16" i="80" s="1"/>
  <c r="F16" i="80" s="1"/>
  <c r="G16" i="80" s="1"/>
  <c r="G29" i="98"/>
  <c r="E15" i="80" s="1"/>
  <c r="J15" i="80" s="1"/>
  <c r="G70" i="98"/>
  <c r="E17" i="80" s="1"/>
  <c r="G26" i="98"/>
  <c r="E14" i="80" s="1"/>
  <c r="F14" i="80" s="1"/>
  <c r="G14" i="80" s="1"/>
  <c r="G23" i="98"/>
  <c r="E13" i="80" s="1"/>
  <c r="F13" i="80" s="1"/>
  <c r="G13" i="80" s="1"/>
  <c r="F10" i="80"/>
  <c r="G10" i="80" s="1"/>
  <c r="J10" i="80"/>
  <c r="F12" i="80"/>
  <c r="G12" i="80" s="1"/>
  <c r="G40" i="98" l="1"/>
  <c r="G46" i="98"/>
  <c r="G47" i="98"/>
  <c r="G44" i="98"/>
  <c r="G43" i="98"/>
  <c r="G41" i="98"/>
  <c r="G64" i="98"/>
  <c r="G63" i="98"/>
  <c r="G62" i="98"/>
  <c r="G60" i="98"/>
  <c r="G59" i="98"/>
  <c r="G58" i="98"/>
  <c r="G57" i="98"/>
  <c r="G55" i="98"/>
  <c r="G53" i="98"/>
  <c r="G52" i="98"/>
  <c r="G50" i="98"/>
  <c r="G49" i="98"/>
  <c r="G67" i="98"/>
  <c r="G66" i="98"/>
  <c r="F15" i="80"/>
  <c r="G15" i="80" s="1"/>
  <c r="F11" i="80"/>
  <c r="G11" i="80" s="1"/>
  <c r="J11" i="80"/>
  <c r="J14" i="80"/>
  <c r="J13" i="80"/>
  <c r="F17" i="80"/>
  <c r="G17" i="80" s="1"/>
  <c r="J17" i="80"/>
  <c r="G73" i="98"/>
  <c r="G74" i="98"/>
  <c r="G76" i="98"/>
  <c r="G75" i="98"/>
  <c r="E19" i="80" s="1"/>
  <c r="J16" i="80"/>
  <c r="J12" i="80"/>
  <c r="E18" i="80" l="1"/>
  <c r="J18" i="80" s="1"/>
  <c r="F19" i="80"/>
  <c r="G19" i="80" s="1"/>
  <c r="J19" i="80"/>
  <c r="F18" i="80" l="1"/>
  <c r="G18" i="80" s="1"/>
  <c r="G22" i="80" s="1"/>
  <c r="G23" i="80" s="1"/>
  <c r="J22" i="80"/>
  <c r="J23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ระยะต่ำสุดคือ 0.2 ม.
ระยะสูงสุดคือ 6 ม.</t>
        </r>
      </text>
    </comment>
    <comment ref="J8" authorId="1" shapeId="0">
      <text>
        <r>
          <rPr>
            <b/>
            <sz val="9"/>
            <color indexed="81"/>
            <rFont val="Tahoma"/>
            <charset val="222"/>
          </rPr>
          <t>CHAROENRAT, Dhittita:</t>
        </r>
        <r>
          <rPr>
            <sz val="9"/>
            <color indexed="81"/>
            <rFont val="Tahoma"/>
            <charset val="222"/>
          </rPr>
          <t xml:space="preserve">
Technical advisr at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73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1200x15000/pc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600x1200/pc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<sst xmlns="http://schemas.openxmlformats.org/spreadsheetml/2006/main" count="427" uniqueCount="214">
  <si>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</si>
  <si>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</si>
  <si>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</si>
  <si>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</si>
  <si>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</si>
  <si>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</si>
  <si>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</si>
  <si>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</si>
  <si>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</si>
  <si>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</si>
  <si>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</si>
  <si>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</si>
  <si>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</si>
  <si>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</si>
  <si>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</si>
  <si>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</si>
  <si>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</si>
  <si>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</si>
  <si>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</si>
  <si>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</si>
  <si>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</si>
  <si>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</si>
  <si>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</si>
  <si>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</si>
  <si>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</si>
  <si>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</si>
  <si>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</si>
  <si>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</si>
  <si>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</si>
  <si>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</si>
  <si>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</si>
  <si>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</si>
  <si>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</si>
  <si>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</si>
  <si>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</si>
  <si>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</si>
  <si>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</si>
  <si>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</si>
  <si>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</si>
  <si>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</si>
  <si>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</si>
  <si>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</si>
  <si>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</si>
  <si>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</si>
  <si>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</si>
  <si>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</si>
  <si>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</si>
  <si>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</si>
  <si>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</si>
  <si>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</si>
  <si>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</si>
  <si>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</si>
  <si>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</si>
  <si>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</si>
  <si>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</si>
  <si>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</si>
  <si>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</si>
  <si>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</si>
  <si>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</si>
  <si>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</si>
  <si>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</si>
  <si>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</si>
  <si>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</si>
  <si>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</si>
  <si>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</si>
  <si>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</si>
  <si>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</si>
  <si>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</si>
  <si>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</si>
  <si>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ความกว้างของห้อง</t>
  </si>
  <si>
    <t>ความยาวของห้อง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</si>
  <si>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</si>
  <si>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</si>
  <si>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</si>
  <si>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</si>
  <si>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</si>
  <si>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</si>
  <si>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</si>
  <si>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</si>
  <si>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</si>
  <si>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</si>
  <si>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</si>
  <si>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</si>
  <si>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length</t>
  </si>
  <si>
    <t>width</t>
  </si>
  <si>
    <t>kg/unit</t>
  </si>
  <si>
    <t>usage</t>
  </si>
  <si>
    <t>Soffit cleat</t>
  </si>
  <si>
    <t>Rod joiner</t>
  </si>
  <si>
    <t>Rod-Joiner</t>
  </si>
  <si>
    <t>Rod</t>
  </si>
  <si>
    <t>Main channel</t>
  </si>
  <si>
    <t>Expansion bolt 6mm</t>
  </si>
  <si>
    <t>Board</t>
  </si>
  <si>
    <t>thick</t>
  </si>
  <si>
    <t>Expansion bolt</t>
  </si>
  <si>
    <t>Insulation</t>
  </si>
  <si>
    <t>Width</t>
  </si>
  <si>
    <t>Glass wool 24k</t>
  </si>
  <si>
    <t>Mineral wool 40k</t>
  </si>
  <si>
    <t>ISOVER Building Insulation 24K</t>
  </si>
  <si>
    <t>ISOVER Building Insulation 40K</t>
  </si>
  <si>
    <t>Suspension hook</t>
  </si>
  <si>
    <t>Steel rod 4mm</t>
  </si>
  <si>
    <t>แผ่น</t>
  </si>
  <si>
    <t>520088230000001</t>
  </si>
  <si>
    <t>520080050000001</t>
  </si>
  <si>
    <t>520080030000003</t>
  </si>
  <si>
    <t>520080010000001</t>
  </si>
  <si>
    <t>520080070000001</t>
  </si>
  <si>
    <t>520088260000009</t>
  </si>
  <si>
    <t>520088260000010</t>
  </si>
  <si>
    <t>รหัสสินค้า</t>
  </si>
  <si>
    <t>Pack</t>
  </si>
  <si>
    <t>โครงคร่าวหลัก</t>
  </si>
  <si>
    <t>ฉากริม</t>
  </si>
  <si>
    <t>ชุดหิ้วโครง</t>
  </si>
  <si>
    <t>ฉากเหล็กสองรู</t>
  </si>
  <si>
    <t>สปริงสแตนเลส</t>
  </si>
  <si>
    <t>โครงลวด</t>
  </si>
  <si>
    <t>พุกเหล็ก</t>
  </si>
  <si>
    <t>ฉนวน</t>
  </si>
  <si>
    <t>โครงคร่าวซอย 120</t>
  </si>
  <si>
    <t>แผ่นยิปซัมทีบาร์</t>
  </si>
  <si>
    <t>24x32</t>
  </si>
  <si>
    <t>530010010100001</t>
  </si>
  <si>
    <t>530010010100002</t>
  </si>
  <si>
    <t>24x38</t>
  </si>
  <si>
    <t>530020020100001</t>
  </si>
  <si>
    <t>530020020100002</t>
  </si>
  <si>
    <t>15x38</t>
  </si>
  <si>
    <t>530050050100001</t>
  </si>
  <si>
    <t>GypFrame Grid 32C24 600</t>
  </si>
  <si>
    <t>Sub channel 600</t>
  </si>
  <si>
    <t>Sub channel 1200</t>
  </si>
  <si>
    <t>530010010200001</t>
  </si>
  <si>
    <t>530010010200002</t>
  </si>
  <si>
    <t>GypFrame Grid 38C24 600</t>
  </si>
  <si>
    <t>15x28</t>
  </si>
  <si>
    <t>530020020200001</t>
  </si>
  <si>
    <t>530020020200002</t>
  </si>
  <si>
    <t>530050050200001</t>
  </si>
  <si>
    <t>530010010200003</t>
  </si>
  <si>
    <t>530010010200004</t>
  </si>
  <si>
    <t>530020020200003</t>
  </si>
  <si>
    <t>530020020200004</t>
  </si>
  <si>
    <t>530050050200002</t>
  </si>
  <si>
    <t>Wall angle</t>
  </si>
  <si>
    <t>24x24</t>
  </si>
  <si>
    <t>Grid wall angle 24</t>
  </si>
  <si>
    <t>Grid wall angle 15</t>
  </si>
  <si>
    <t>Grid M-Bar angle</t>
  </si>
  <si>
    <t>19x22</t>
  </si>
  <si>
    <t>19x9x9x19</t>
  </si>
  <si>
    <t>530050050300001</t>
  </si>
  <si>
    <t>530050050400001</t>
  </si>
  <si>
    <t>530010010300001</t>
  </si>
  <si>
    <t>T-Bar suspension hook</t>
  </si>
  <si>
    <t>CasoRoc Regular 9mm 1195</t>
  </si>
  <si>
    <t>CasoRoc Regular 12mm 1195</t>
  </si>
  <si>
    <t>210010160900004</t>
  </si>
  <si>
    <t>210010161200001</t>
  </si>
  <si>
    <t>CasoRoc MR 9mm 1195</t>
  </si>
  <si>
    <t>CasoRoc MR 12mm 1195</t>
  </si>
  <si>
    <t>210020160900005</t>
  </si>
  <si>
    <t>210020161200001</t>
  </si>
  <si>
    <t>CasoRoc Foil Backed 12mm 1195</t>
  </si>
  <si>
    <t>210030161200002</t>
  </si>
  <si>
    <t>210010081200001</t>
  </si>
  <si>
    <t>CasoSTAR 12mm 1195</t>
  </si>
  <si>
    <t>CasoPIN 12mm 1195</t>
  </si>
  <si>
    <t>CasoMOON 12mm 1195</t>
  </si>
  <si>
    <t>CasoOCEAN 12mm 1195</t>
  </si>
  <si>
    <t>210010091200001</t>
  </si>
  <si>
    <t>210010111200001</t>
  </si>
  <si>
    <t>210010071200001</t>
  </si>
  <si>
    <t>Gyprex Granular 12mm 1195</t>
  </si>
  <si>
    <t>150010110000028</t>
  </si>
  <si>
    <t>Gyprex Dew drop 12mm 1195</t>
  </si>
  <si>
    <t>Gyprex Plain white 12mm 1195</t>
  </si>
  <si>
    <t>150010080900034</t>
  </si>
  <si>
    <t>15001030000043</t>
  </si>
  <si>
    <t>Celotex HD Fine Fissure 16mm 1195</t>
  </si>
  <si>
    <t>Celotex HD Fine Fissure 16mm 1195 Reveal</t>
  </si>
  <si>
    <t>260010010010020</t>
  </si>
  <si>
    <t>260010010010021</t>
  </si>
  <si>
    <t>9mm RG 1195</t>
  </si>
  <si>
    <t>100010010000021</t>
  </si>
  <si>
    <t>12mm RG 1195</t>
  </si>
  <si>
    <t>100010010000064</t>
  </si>
  <si>
    <t>100040010000005</t>
  </si>
  <si>
    <t>9mm MR 1195</t>
  </si>
  <si>
    <t>12mm MR 1195</t>
  </si>
  <si>
    <t>100040010000016</t>
  </si>
  <si>
    <t>9mm FB 1195</t>
  </si>
  <si>
    <t>12mm FB 1195</t>
  </si>
  <si>
    <t>100050010000006</t>
  </si>
  <si>
    <t>100050010000017</t>
  </si>
  <si>
    <t>3.60 ม.</t>
  </si>
  <si>
    <t>GypFrame Grid 32C24 1200</t>
  </si>
  <si>
    <t>GypFrame Grid 38C24 1200</t>
  </si>
  <si>
    <t>GypFrame Grid 32C24 605</t>
  </si>
  <si>
    <t>GypFrame Grid 38C24 605</t>
  </si>
  <si>
    <t>GypFrame Grid 38C15 600</t>
  </si>
  <si>
    <t>GypFrame Grid 32C24 1210</t>
  </si>
  <si>
    <t>GypFrame Grid 38C24 1210</t>
  </si>
  <si>
    <t>GypFrame Grid 38C15 1200</t>
  </si>
  <si>
    <t>GypFrame Grid 32M24 3600</t>
  </si>
  <si>
    <t>GypFrame Grid 32M24 3630</t>
  </si>
  <si>
    <t>GypFrame Grid 38M24 3600</t>
  </si>
  <si>
    <t>GypFrame Grid 38M24 3630</t>
  </si>
  <si>
    <t>GypFrame Grid 38M15 3600</t>
  </si>
  <si>
    <t>ฝ้าเพดานทีบาร์ GRID 32T24 วางแผ่นขนาด 595มม. x 1195มม.</t>
  </si>
  <si>
    <t>Revised 7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</si>
</sst>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##\ \ม."/>
    <numFmt numFmtId="166" formatCode="#0.##\ \ม."/>
  </numFmts>
  <fonts count="38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b/>
      <sz val="9"/>
      <color indexed="81"/>
      <name val="Tahoma"/>
      <charset val="222"/>
    </font>
    <font>
      <sz val="9"/>
      <color indexed="81"/>
      <name val="Tahoma"/>
      <charset val="22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0" fillId="0" borderId="23" xfId="0" applyBorder="1"/>
    <xf numFmtId="0" fontId="0" fillId="0" borderId="26" xfId="0" applyBorder="1"/>
    <xf numFmtId="0" fontId="0" fillId="24" borderId="0" xfId="0" applyFill="1"/>
    <xf numFmtId="0" fontId="0" fillId="25" borderId="0" xfId="0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4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2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16" xfId="0" applyBorder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18" borderId="0" xfId="0" applyFill="1" applyBorder="1" applyAlignment="1">
      <alignment horizontal="left"/>
    </xf>
    <xf numFmtId="0" fontId="0" fillId="23" borderId="0" xfId="0" applyFill="1"/>
    <xf numFmtId="0" fontId="0" fillId="18" borderId="0" xfId="0" applyFill="1" applyBorder="1" applyAlignment="1"/>
    <xf numFmtId="0" fontId="14" fillId="23" borderId="0" xfId="0" applyFont="1" applyFill="1" applyBorder="1" applyAlignment="1">
      <alignment horizontal="center"/>
    </xf>
    <xf numFmtId="9" fontId="2" fillId="22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31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1" fillId="20" borderId="33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  <xf numFmtId="0" fontId="0" fillId="23" borderId="16" xfId="0" applyFill="1" applyBorder="1" applyAlignment="1">
      <alignment horizontal="center"/>
    </xf>
    <xf numFmtId="0" fontId="0" fillId="23" borderId="22" xfId="0" applyFill="1" applyBorder="1"/>
    <xf numFmtId="0" fontId="2" fillId="23" borderId="27" xfId="0" applyFont="1" applyFill="1" applyBorder="1"/>
    <xf numFmtId="166" fontId="0" fillId="23" borderId="10" xfId="0" applyNumberFormat="1" applyFill="1" applyBorder="1" applyAlignment="1">
      <alignment horizontal="center"/>
    </xf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7" fillId="23" borderId="31" xfId="0" applyFont="1" applyFill="1" applyBorder="1" applyAlignment="1">
      <alignment vertical="center" wrapText="1" shrinkToFit="1"/>
    </xf>
    <xf numFmtId="0" fontId="0" fillId="23" borderId="23" xfId="0" applyFill="1" applyBorder="1"/>
    <xf numFmtId="0" fontId="0" fillId="23" borderId="19" xfId="0" applyFill="1" applyBorder="1"/>
    <xf numFmtId="164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vertical="center" wrapText="1" shrinkToFit="1"/>
    </xf>
    <xf numFmtId="0" fontId="0" fillId="23" borderId="24" xfId="0" applyFill="1" applyBorder="1"/>
    <xf numFmtId="4" fontId="0" fillId="23" borderId="10" xfId="0" applyNumberFormat="1" applyFill="1" applyBorder="1" applyAlignment="1">
      <alignment horizontal="center"/>
    </xf>
    <xf numFmtId="0" fontId="0" fillId="23" borderId="16" xfId="0" applyFill="1" applyBorder="1" applyAlignment="1">
      <alignment horizontal="left" wrapText="1"/>
    </xf>
    <xf numFmtId="0" fontId="0" fillId="23" borderId="25" xfId="0" applyFill="1" applyBorder="1"/>
    <xf numFmtId="0" fontId="7" fillId="23" borderId="16" xfId="0" applyFont="1" applyFill="1" applyBorder="1" applyAlignment="1">
      <alignment horizontal="centerContinuous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1148715</xdr:colOff>
      <xdr:row>2</xdr:row>
      <xdr:rowOff>428624</xdr:rowOff>
    </xdr:from>
    <xdr:to>
      <xdr:col>10</xdr:col>
      <xdr:colOff>2390775</xdr:colOff>
      <xdr:row>5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530840" y="1019174"/>
          <a:ext cx="1242060" cy="990601"/>
        </a:xfrm>
        <a:prstGeom prst="wedgeRoundRectCallout">
          <a:avLst>
            <a:gd name="adj1" fmla="val -136937"/>
            <a:gd name="adj2" fmla="val -6738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ความยาวของห้องมีผลต่อจำนวนโครง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523875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61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99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00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01" t="s">
        <v>44</v>
      </c>
    </row>
    <row r="17" spans="1:7" x14ac:dyDescent="0.5">
      <c r="A17" s="1"/>
      <c r="B17" s="5"/>
      <c r="C17" s="10"/>
      <c r="D17" s="7"/>
      <c r="E17" s="7"/>
      <c r="F17" s="9"/>
      <c r="G17" s="102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67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99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0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0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03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03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59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99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0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03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03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03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27"/>
  <sheetViews>
    <sheetView tabSelected="1" zoomScaleNormal="100" workbookViewId="0">
      <selection activeCell="C18" sqref="C18"/>
    </sheetView>
  </sheetViews>
  <sheetFormatPr defaultRowHeight="19.8" x14ac:dyDescent="0.5"/>
  <cols>
    <col min="1" max="1" width="20.125" customWidth="1"/>
    <col min="2" max="2" width="17.125" customWidth="1"/>
    <col min="3" max="3" width="28.37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3.5" customWidth="1"/>
  </cols>
  <sheetData>
    <row r="1" spans="1:19" ht="23.4" x14ac:dyDescent="0.6">
      <c r="B1" s="104" t="s">
        <v>14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19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19" ht="34.799999999999997" x14ac:dyDescent="0.9">
      <c r="B3" s="98" t="s">
        <v>212</v>
      </c>
      <c r="C3" s="98"/>
      <c r="D3" s="98"/>
      <c r="E3" s="98"/>
      <c r="F3" s="98"/>
      <c r="G3" s="98"/>
      <c r="H3" s="98"/>
      <c r="I3" s="98"/>
      <c r="J3" s="98"/>
      <c r="K3" s="98"/>
      <c r="M3" s="4"/>
      <c r="N3" s="4"/>
      <c r="O3" s="4"/>
    </row>
    <row r="4" spans="1:19" ht="31.5" customHeight="1" x14ac:dyDescent="0.6">
      <c r="A4" s="108" t="s">
        <v>6</v>
      </c>
      <c r="B4" s="108"/>
      <c r="C4" s="108"/>
      <c r="D4" s="26"/>
      <c r="E4" s="26"/>
      <c r="F4" s="26"/>
      <c r="G4" s="26"/>
      <c r="H4" s="27"/>
      <c r="I4" s="59" t="s">
        <v>69</v>
      </c>
      <c r="J4" s="60">
        <v>4</v>
      </c>
      <c r="K4" s="63" t="s">
        <v>73</v>
      </c>
      <c r="M4" s="4"/>
      <c r="N4" s="4"/>
      <c r="O4" s="4"/>
      <c r="P4" s="4"/>
      <c r="Q4" s="4"/>
      <c r="R4" s="4"/>
    </row>
    <row r="5" spans="1:19" ht="32.4" x14ac:dyDescent="0.85">
      <c r="A5" s="107" t="s">
        <v>27</v>
      </c>
      <c r="B5" s="107"/>
      <c r="C5" s="107"/>
      <c r="D5" s="96">
        <f>J5*J4</f>
        <v>20</v>
      </c>
      <c r="E5" s="29" t="s">
        <v>19</v>
      </c>
      <c r="F5" s="29"/>
      <c r="G5" s="29"/>
      <c r="H5" s="27"/>
      <c r="I5" s="59" t="s">
        <v>70</v>
      </c>
      <c r="J5" s="60">
        <v>5</v>
      </c>
      <c r="K5" s="63" t="s">
        <v>73</v>
      </c>
      <c r="M5" s="4"/>
      <c r="N5" s="4"/>
      <c r="O5" s="4"/>
      <c r="P5" s="4"/>
      <c r="Q5" s="4"/>
      <c r="R5" s="61"/>
      <c r="S5" s="62"/>
    </row>
    <row r="6" spans="1:19" ht="32.4" x14ac:dyDescent="0.85">
      <c r="A6" s="93" t="s">
        <v>34</v>
      </c>
      <c r="B6" s="93"/>
      <c r="C6" s="93"/>
      <c r="D6" s="45">
        <f>D5</f>
        <v>20</v>
      </c>
      <c r="E6" s="93" t="s">
        <v>20</v>
      </c>
      <c r="F6" s="93"/>
      <c r="G6" s="95"/>
      <c r="H6" s="95"/>
      <c r="I6" s="95"/>
      <c r="J6" s="95"/>
      <c r="K6" s="95"/>
      <c r="M6" s="4"/>
      <c r="N6" s="4"/>
      <c r="O6" s="4"/>
      <c r="P6" s="4"/>
      <c r="Q6" s="4"/>
      <c r="R6" s="61"/>
      <c r="S6" s="62"/>
    </row>
    <row r="7" spans="1:19" ht="32.4" x14ac:dyDescent="0.85">
      <c r="A7" s="107" t="s">
        <v>72</v>
      </c>
      <c r="B7" s="107"/>
      <c r="C7" s="107"/>
      <c r="D7" s="65">
        <v>1</v>
      </c>
      <c r="E7" s="29" t="s">
        <v>73</v>
      </c>
      <c r="F7" s="29"/>
      <c r="G7" s="95"/>
      <c r="H7" s="95"/>
      <c r="I7" s="95"/>
      <c r="J7" s="95"/>
      <c r="K7" s="95"/>
      <c r="M7" s="4"/>
      <c r="N7" s="4"/>
      <c r="O7" s="4"/>
      <c r="P7" s="4"/>
      <c r="Q7" s="4"/>
      <c r="R7" s="61"/>
    </row>
    <row r="8" spans="1:19" ht="21" thickBot="1" x14ac:dyDescent="0.6">
      <c r="A8" s="94"/>
      <c r="B8" s="94"/>
      <c r="C8" s="94"/>
      <c r="D8" s="94"/>
      <c r="E8" s="94"/>
      <c r="F8" s="29"/>
      <c r="G8" s="29"/>
      <c r="H8" s="30"/>
      <c r="I8" s="64" t="s">
        <v>71</v>
      </c>
      <c r="J8" s="97">
        <v>0.05</v>
      </c>
      <c r="K8" s="33" t="s">
        <v>213</v>
      </c>
      <c r="M8" s="4"/>
      <c r="N8" s="4"/>
      <c r="O8" s="4"/>
      <c r="P8" s="4"/>
      <c r="Q8" s="4"/>
      <c r="R8" s="61"/>
    </row>
    <row r="9" spans="1:19" ht="21" thickBot="1" x14ac:dyDescent="0.6">
      <c r="A9" s="91" t="s">
        <v>112</v>
      </c>
      <c r="B9" s="105" t="s">
        <v>0</v>
      </c>
      <c r="C9" s="106"/>
      <c r="D9" s="47" t="s">
        <v>1</v>
      </c>
      <c r="E9" s="47" t="s">
        <v>74</v>
      </c>
      <c r="F9" s="68" t="s">
        <v>77</v>
      </c>
      <c r="G9" s="46" t="s">
        <v>81</v>
      </c>
      <c r="H9" s="47" t="s">
        <v>26</v>
      </c>
      <c r="I9" s="46" t="s">
        <v>53</v>
      </c>
      <c r="J9" s="46" t="s">
        <v>2</v>
      </c>
      <c r="K9" s="46" t="s">
        <v>9</v>
      </c>
      <c r="M9" s="4"/>
      <c r="N9" s="4"/>
      <c r="O9" s="4"/>
    </row>
    <row r="10" spans="1:19" x14ac:dyDescent="0.5">
      <c r="A10" s="109" t="str">
        <f>IFERROR(VLOOKUP($C10,Data!$A2:$I7,9,),0)</f>
        <v>530010010100001</v>
      </c>
      <c r="B10" s="110" t="s">
        <v>114</v>
      </c>
      <c r="C10" s="111" t="s">
        <v>207</v>
      </c>
      <c r="D10" s="112">
        <f>IFERROR(VLOOKUP($C10,Data!$A2:$H7,2,),0)/1000</f>
        <v>3.6</v>
      </c>
      <c r="E10" s="113">
        <f>IFERROR(VLOOKUP($C10,Data!$A2:$H7,7,),0)</f>
        <v>5.25</v>
      </c>
      <c r="F10" s="114">
        <f>$E10/$D$5</f>
        <v>0.26250000000000001</v>
      </c>
      <c r="G10" s="114">
        <f>IFERROR(VLOOKUP($C10,Data!$A2:$H7,5,),0)*F10</f>
        <v>0.328125</v>
      </c>
      <c r="H10" s="115">
        <f>IFERROR(VLOOKUP($C10,Data!$A2:$H7,6,),0)</f>
        <v>108</v>
      </c>
      <c r="I10" s="116"/>
      <c r="J10" s="117">
        <f>+(H10-(H10*I10))*E10</f>
        <v>567</v>
      </c>
      <c r="K10" s="118"/>
      <c r="M10" s="4"/>
      <c r="N10" s="4"/>
      <c r="O10" s="4"/>
    </row>
    <row r="11" spans="1:19" x14ac:dyDescent="0.5">
      <c r="A11" s="109" t="str">
        <f>IFERROR(VLOOKUP($C11,Data!$A16:$I21,9,),0)</f>
        <v>530010010200004</v>
      </c>
      <c r="B11" s="119" t="s">
        <v>122</v>
      </c>
      <c r="C11" s="120" t="s">
        <v>204</v>
      </c>
      <c r="D11" s="121">
        <f>IFERROR(VLOOKUP($C11,Data!$A16:$H20,2,),0)/1000</f>
        <v>1.21</v>
      </c>
      <c r="E11" s="113">
        <f>IFERROR(VLOOKUP($C11,Data!$A16:$H20,7,),0)</f>
        <v>29.400000000000002</v>
      </c>
      <c r="F11" s="114">
        <f t="shared" ref="F11:F19" si="0">$E11/$D$5</f>
        <v>1.4700000000000002</v>
      </c>
      <c r="G11" s="114">
        <f>IFERROR(VLOOKUP($C11,Data!$A16:$H20,5,),0)*F11</f>
        <v>0.61740000000000006</v>
      </c>
      <c r="H11" s="115">
        <f>IFERROR(VLOOKUP($C11,Data!$A16:$H20,6,),0)</f>
        <v>37</v>
      </c>
      <c r="I11" s="116"/>
      <c r="J11" s="117">
        <f t="shared" ref="J11" si="1">+(H11-(H11*I11))*E11</f>
        <v>1087.8000000000002</v>
      </c>
      <c r="K11" s="122"/>
      <c r="M11" s="4"/>
      <c r="N11" s="4"/>
      <c r="O11" s="4"/>
    </row>
    <row r="12" spans="1:19" x14ac:dyDescent="0.5">
      <c r="A12" s="109" t="str">
        <f>IFERROR(VLOOKUP($C12,Data!$A35:$I38,9,),0)</f>
        <v>530010010300001</v>
      </c>
      <c r="B12" s="123" t="s">
        <v>115</v>
      </c>
      <c r="C12" s="120" t="s">
        <v>149</v>
      </c>
      <c r="D12" s="124" t="s">
        <v>198</v>
      </c>
      <c r="E12" s="113">
        <f>IFERROR(VLOOKUP($C12,Data!$A35:$H38,7,),0)</f>
        <v>5.25</v>
      </c>
      <c r="F12" s="114">
        <f t="shared" si="0"/>
        <v>0.26250000000000001</v>
      </c>
      <c r="G12" s="114">
        <f>IFERROR(VLOOKUP($C12,Data!$A35:$H38,5,),0)*F12</f>
        <v>0.19162499999999999</v>
      </c>
      <c r="H12" s="115">
        <f>IFERROR(VLOOKUP($C12,Data!$A35:$H38,6,),0)</f>
        <v>85</v>
      </c>
      <c r="I12" s="116"/>
      <c r="J12" s="117">
        <f t="shared" ref="J12:J19" si="2">+(H12-(H12*I12))*E12</f>
        <v>446.25</v>
      </c>
      <c r="K12" s="125"/>
      <c r="M12" s="4"/>
      <c r="N12" s="4"/>
      <c r="O12" s="4"/>
    </row>
    <row r="13" spans="1:19" x14ac:dyDescent="0.5">
      <c r="A13" s="109" t="str">
        <f>IFERROR(VLOOKUP($C13,Data!$A23:$I24,9,),0)</f>
        <v>520088230000001</v>
      </c>
      <c r="B13" s="126" t="s">
        <v>116</v>
      </c>
      <c r="C13" s="120" t="s">
        <v>157</v>
      </c>
      <c r="D13" s="124" t="s">
        <v>3</v>
      </c>
      <c r="E13" s="113">
        <f>IFERROR(VLOOKUP($C13,Data!$A23:$H309,7,),0)</f>
        <v>14.700000000000001</v>
      </c>
      <c r="F13" s="114">
        <f t="shared" si="0"/>
        <v>0.7350000000000001</v>
      </c>
      <c r="G13" s="114">
        <f>IFERROR(VLOOKUP($C13,Data!$A23:$H309,5,),0)*F13</f>
        <v>1.4700000000000003E-2</v>
      </c>
      <c r="H13" s="115">
        <f>IFERROR(VLOOKUP($C13,Data!$A23:$H24,6,),0)</f>
        <v>2.5</v>
      </c>
      <c r="I13" s="116"/>
      <c r="J13" s="117">
        <f t="shared" si="2"/>
        <v>36.75</v>
      </c>
      <c r="K13" s="125"/>
    </row>
    <row r="14" spans="1:19" x14ac:dyDescent="0.5">
      <c r="A14" s="109" t="str">
        <f>IFERROR(VLOOKUP($C14,Data!$A26:$I27,9,),0)</f>
        <v>520080050000001</v>
      </c>
      <c r="B14" s="119" t="s">
        <v>117</v>
      </c>
      <c r="C14" s="120" t="s">
        <v>87</v>
      </c>
      <c r="D14" s="124" t="s">
        <v>3</v>
      </c>
      <c r="E14" s="113">
        <f>IFERROR(VLOOKUP($C14,Data!$A26:$H27,7,),0)</f>
        <v>14.700000000000001</v>
      </c>
      <c r="F14" s="114">
        <f t="shared" si="0"/>
        <v>0.7350000000000001</v>
      </c>
      <c r="G14" s="114">
        <f>IFERROR(VLOOKUP($C14,Data!$A26:$H27,5,),0)*F14</f>
        <v>1.323E-2</v>
      </c>
      <c r="H14" s="115">
        <f>IFERROR(VLOOKUP($C14,Data!$A26:$H27,6,),0)</f>
        <v>2.25</v>
      </c>
      <c r="I14" s="116"/>
      <c r="J14" s="117">
        <f t="shared" si="2"/>
        <v>33.075000000000003</v>
      </c>
      <c r="K14" s="125"/>
    </row>
    <row r="15" spans="1:19" x14ac:dyDescent="0.5">
      <c r="A15" s="109" t="str">
        <f>IFERROR(VLOOKUP($C15,Data!$A29:$I30,9,),0)</f>
        <v>520080030000003</v>
      </c>
      <c r="B15" s="123" t="s">
        <v>118</v>
      </c>
      <c r="C15" s="120" t="s">
        <v>89</v>
      </c>
      <c r="D15" s="124" t="s">
        <v>3</v>
      </c>
      <c r="E15" s="113">
        <f>IFERROR(VLOOKUP($C15,Data!$A29:$H30,7,),0)</f>
        <v>14.700000000000001</v>
      </c>
      <c r="F15" s="114">
        <f t="shared" si="0"/>
        <v>0.7350000000000001</v>
      </c>
      <c r="G15" s="114">
        <f>IFERROR(VLOOKUP($C15,Data!$A29:$H30,5,),0)*F15</f>
        <v>6.6150000000000002E-3</v>
      </c>
      <c r="H15" s="115">
        <f>IFERROR(VLOOKUP($C15,Data!$A29:$H30,6,),0)</f>
        <v>6</v>
      </c>
      <c r="I15" s="116"/>
      <c r="J15" s="117">
        <f t="shared" si="2"/>
        <v>88.2</v>
      </c>
      <c r="K15" s="125"/>
    </row>
    <row r="16" spans="1:19" x14ac:dyDescent="0.5">
      <c r="A16" s="109" t="str">
        <f>IFERROR(VLOOKUP($C16,Data!$A32:$I33,9,),0)</f>
        <v>520080010000001</v>
      </c>
      <c r="B16" s="123" t="s">
        <v>119</v>
      </c>
      <c r="C16" s="120" t="s">
        <v>103</v>
      </c>
      <c r="D16" s="124" t="s">
        <v>36</v>
      </c>
      <c r="E16" s="113">
        <f>IFERROR(VLOOKUP($C16,Data!$A24:$H312,7,),0)</f>
        <v>4.9000000000000004</v>
      </c>
      <c r="F16" s="114">
        <f t="shared" si="0"/>
        <v>0.24500000000000002</v>
      </c>
      <c r="G16" s="114">
        <f>IFERROR(VLOOKUP($C16,Data!$A24:$H312,5,),0)*F16</f>
        <v>7.350000000000001E-2</v>
      </c>
      <c r="H16" s="115">
        <f>IFERROR(VLOOKUP($C16,Data!$A32:$H33,6,),0)</f>
        <v>20</v>
      </c>
      <c r="I16" s="116"/>
      <c r="J16" s="117">
        <f t="shared" si="2"/>
        <v>98</v>
      </c>
      <c r="K16" s="125"/>
    </row>
    <row r="17" spans="1:12" x14ac:dyDescent="0.5">
      <c r="A17" s="109" t="str">
        <f>IFERROR(VLOOKUP($C17,Data!$A70:$I71,9,),0)</f>
        <v>520080070000001</v>
      </c>
      <c r="B17" s="123" t="s">
        <v>120</v>
      </c>
      <c r="C17" s="120" t="s">
        <v>92</v>
      </c>
      <c r="D17" s="124" t="s">
        <v>75</v>
      </c>
      <c r="E17" s="113">
        <f>IFERROR(VLOOKUP($C17,Data!$A70:$H71,7,),0)</f>
        <v>14.700000000000001</v>
      </c>
      <c r="F17" s="114">
        <f t="shared" si="0"/>
        <v>0.7350000000000001</v>
      </c>
      <c r="G17" s="114">
        <f>IFERROR(VLOOKUP($C17,Data!$A70:$H71,5,),0)*F17</f>
        <v>7.3500000000000015E-3</v>
      </c>
      <c r="H17" s="115">
        <f>IFERROR(VLOOKUP($C17,Data!$A70:$H71,6,),0)</f>
        <v>2</v>
      </c>
      <c r="I17" s="116"/>
      <c r="J17" s="117">
        <f t="shared" si="2"/>
        <v>29.400000000000002</v>
      </c>
      <c r="K17" s="127"/>
    </row>
    <row r="18" spans="1:12" ht="20.399999999999999" x14ac:dyDescent="0.55000000000000004">
      <c r="A18" s="92" t="str">
        <f>IFERROR(VLOOKUP($C18,Data!$A40:$I68,9,),0)</f>
        <v>100010010000021</v>
      </c>
      <c r="B18" s="70" t="s">
        <v>123</v>
      </c>
      <c r="C18" s="41" t="s">
        <v>186</v>
      </c>
      <c r="D18" s="77" t="s">
        <v>104</v>
      </c>
      <c r="E18" s="10">
        <f>IFERROR(VLOOKUP($C18,Data!$A40:$H68,7,),0)</f>
        <v>29.53482648289441</v>
      </c>
      <c r="F18" s="66">
        <f t="shared" si="0"/>
        <v>1.4767413241447205</v>
      </c>
      <c r="G18" s="66">
        <f>IFERROR(VLOOKUP($C18,Data!$A40:$H68,5,),0)*F18</f>
        <v>5.8774304700959874</v>
      </c>
      <c r="H18" s="7">
        <f>IFERROR(VLOOKUP($C18,Data!$A40:$H68,6,),0)</f>
        <v>61</v>
      </c>
      <c r="I18" s="51"/>
      <c r="J18" s="9">
        <f t="shared" si="2"/>
        <v>1801.6244154565591</v>
      </c>
      <c r="K18" s="35"/>
    </row>
    <row r="19" spans="1:12" hidden="1" x14ac:dyDescent="0.5">
      <c r="A19" s="92">
        <f>IFERROR(VLOOKUP($C19,Data!$A73:$I77,9,),0)</f>
        <v>0</v>
      </c>
      <c r="B19" s="78" t="s">
        <v>121</v>
      </c>
      <c r="C19" s="41"/>
      <c r="D19" s="79" t="s">
        <v>113</v>
      </c>
      <c r="E19" s="10">
        <f>IFERROR(VLOOKUP($C19,Data!$A73:$H77,7,),0)</f>
        <v>0</v>
      </c>
      <c r="F19" s="66">
        <f t="shared" si="0"/>
        <v>0</v>
      </c>
      <c r="G19" s="66">
        <f>IFERROR(VLOOKUP($C19,Data!$A73:$H77,5,),0)*F19</f>
        <v>0</v>
      </c>
      <c r="H19" s="7">
        <f>IFERROR(VLOOKUP($C19,Data!$A73:$H77,6,),0)</f>
        <v>0</v>
      </c>
      <c r="I19" s="51"/>
      <c r="J19" s="9">
        <f t="shared" si="2"/>
        <v>0</v>
      </c>
      <c r="K19" s="38"/>
    </row>
    <row r="20" spans="1:12" x14ac:dyDescent="0.5">
      <c r="A20" s="90"/>
      <c r="B20" s="78"/>
      <c r="C20" s="81"/>
      <c r="D20" s="82"/>
      <c r="E20" s="83"/>
      <c r="F20" s="84"/>
      <c r="G20" s="84"/>
      <c r="H20" s="85"/>
      <c r="I20" s="86"/>
      <c r="J20" s="87"/>
      <c r="K20" s="38"/>
    </row>
    <row r="21" spans="1:12" ht="20.399999999999999" thickBot="1" x14ac:dyDescent="0.55000000000000004">
      <c r="A21" s="49"/>
      <c r="B21" s="71"/>
      <c r="C21" s="53"/>
      <c r="D21" s="13"/>
      <c r="E21" s="13"/>
      <c r="F21" s="13"/>
      <c r="G21" s="13"/>
      <c r="H21" s="13"/>
      <c r="I21" s="13" t="s">
        <v>45</v>
      </c>
      <c r="J21" s="13"/>
      <c r="K21" s="39"/>
    </row>
    <row r="22" spans="1:12" ht="21" thickBot="1" x14ac:dyDescent="0.6">
      <c r="A22" s="14" t="s">
        <v>8</v>
      </c>
      <c r="E22" s="15"/>
      <c r="F22" s="15" t="s">
        <v>79</v>
      </c>
      <c r="G22" s="69">
        <f>SUM(G10:G21)</f>
        <v>7.1299754700959879</v>
      </c>
      <c r="H22" s="15" t="s">
        <v>82</v>
      </c>
      <c r="J22" s="13">
        <f>SUM($J10:$J21)</f>
        <v>4188.0994154565587</v>
      </c>
      <c r="K22" s="40"/>
      <c r="L22" s="4"/>
    </row>
    <row r="23" spans="1:12" ht="20.399999999999999" x14ac:dyDescent="0.55000000000000004">
      <c r="B23" s="14"/>
      <c r="E23" s="15"/>
      <c r="F23" s="15" t="s">
        <v>80</v>
      </c>
      <c r="G23" s="69">
        <f>$G$22/$D$5</f>
        <v>0.35649877350479942</v>
      </c>
      <c r="H23" s="15" t="s">
        <v>78</v>
      </c>
      <c r="J23" s="67">
        <f>$J$22/$D$5</f>
        <v>209.40497077282794</v>
      </c>
      <c r="K23" s="6"/>
      <c r="L23" s="4"/>
    </row>
    <row r="24" spans="1:12" x14ac:dyDescent="0.5">
      <c r="A24" s="24" t="s">
        <v>21</v>
      </c>
    </row>
    <row r="25" spans="1:12" ht="21" x14ac:dyDescent="0.6">
      <c r="A25" s="23" t="s">
        <v>22</v>
      </c>
    </row>
    <row r="26" spans="1:12" ht="21" x14ac:dyDescent="0.6">
      <c r="A26" s="23" t="s">
        <v>76</v>
      </c>
    </row>
    <row r="27" spans="1:12" ht="21" x14ac:dyDescent="0.6">
      <c r="A27" s="23" t="s">
        <v>24</v>
      </c>
    </row>
  </sheetData>
  <mergeCells count="6">
    <mergeCell ref="B3:K3"/>
    <mergeCell ref="B1:K1"/>
    <mergeCell ref="B9:C9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8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Data!$A$35:$A$38</xm:f>
          </x14:formula1>
          <xm:sqref>C12</xm:sqref>
        </x14:dataValidation>
        <x14:dataValidation type="list" allowBlank="1" showInputMessage="1" showErrorMessage="1">
          <x14:formula1>
            <xm:f>Data!$A$26:$A$27</xm:f>
          </x14:formula1>
          <xm:sqref>C14</xm:sqref>
        </x14:dataValidation>
        <x14:dataValidation type="list" allowBlank="1" showInputMessage="1" showErrorMessage="1">
          <x14:formula1>
            <xm:f>Data!$A$29:$A$30</xm:f>
          </x14:formula1>
          <xm:sqref>C15</xm:sqref>
        </x14:dataValidation>
        <x14:dataValidation type="list" allowBlank="1" showInputMessage="1" showErrorMessage="1">
          <x14:formula1>
            <xm:f>Data!$A$32:$A$33</xm:f>
          </x14:formula1>
          <xm:sqref>C16</xm:sqref>
        </x14:dataValidation>
        <x14:dataValidation type="list" allowBlank="1" showInputMessage="1" showErrorMessage="1">
          <x14:formula1>
            <xm:f>Data!$A$70:$A$71</xm:f>
          </x14:formula1>
          <xm:sqref>C17</xm:sqref>
        </x14:dataValidation>
        <x14:dataValidation type="list" allowBlank="1" showInputMessage="1" showErrorMessage="1">
          <x14:formula1>
            <xm:f>Data!$A$73:$A$77</xm:f>
          </x14:formula1>
          <xm:sqref>C19</xm:sqref>
        </x14:dataValidation>
        <x14:dataValidation type="list" allowBlank="1" showInputMessage="1" showErrorMessage="1">
          <x14:formula1>
            <xm:f>Data!$A$2:$A$7</xm:f>
          </x14:formula1>
          <xm:sqref>C10</xm:sqref>
        </x14:dataValidation>
        <x14:dataValidation type="list" allowBlank="1" showInputMessage="1" showErrorMessage="1">
          <x14:formula1>
            <xm:f>Data!$A$23:$A$24</xm:f>
          </x14:formula1>
          <xm:sqref>C13</xm:sqref>
        </x14:dataValidation>
        <x14:dataValidation type="list" allowBlank="1" showInputMessage="1" showErrorMessage="1">
          <x14:formula1>
            <xm:f>Data!$A$16:$A$21</xm:f>
          </x14:formula1>
          <xm:sqref>C11</xm:sqref>
        </x14:dataValidation>
        <x14:dataValidation type="list" allowBlank="1" showInputMessage="1" showErrorMessage="1">
          <x14:formula1>
            <xm:f>Data!$A$40:$A$68</xm:f>
          </x14:formula1>
          <xm:sqref>C18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6"/>
  <sheetViews>
    <sheetView topLeftCell="A61" zoomScale="130" zoomScaleNormal="130" workbookViewId="0">
      <selection activeCell="A68" sqref="A68:XFD68"/>
    </sheetView>
  </sheetViews>
  <sheetFormatPr defaultRowHeight="19.8" x14ac:dyDescent="0.5"/>
  <cols>
    <col min="1" max="1" width="33.625" bestFit="1" customWidth="1"/>
    <col min="6" max="6" width="9.375" style="72"/>
    <col min="7" max="7" width="13.125" style="73" bestFit="1" customWidth="1"/>
    <col min="8" max="8" width="13.125" style="73" customWidth="1"/>
    <col min="9" max="9" width="16.5" style="88" bestFit="1" customWidth="1"/>
    <col min="10" max="10" width="13.125" customWidth="1"/>
  </cols>
  <sheetData>
    <row r="1" spans="1:9" ht="20.399999999999999" x14ac:dyDescent="0.55000000000000004">
      <c r="A1" s="74" t="s">
        <v>91</v>
      </c>
      <c r="B1" t="s">
        <v>83</v>
      </c>
      <c r="C1" t="s">
        <v>84</v>
      </c>
      <c r="D1" s="75" t="s">
        <v>94</v>
      </c>
      <c r="E1" t="s">
        <v>85</v>
      </c>
      <c r="G1" s="73" t="s">
        <v>86</v>
      </c>
    </row>
    <row r="2" spans="1:9" x14ac:dyDescent="0.5">
      <c r="A2" s="75" t="s">
        <v>207</v>
      </c>
      <c r="B2">
        <v>3600</v>
      </c>
      <c r="C2" s="76" t="s">
        <v>124</v>
      </c>
      <c r="D2">
        <v>0.35</v>
      </c>
      <c r="E2">
        <v>1.25</v>
      </c>
      <c r="F2" s="72">
        <v>108</v>
      </c>
      <c r="G2" s="80">
        <f>ROUNDUP((('T-bar'!$J$4)/1.2*'T-bar'!$J$5/($B2/1000)),)*(1+'T-bar'!$J$8)</f>
        <v>5.25</v>
      </c>
      <c r="I2" s="89" t="s">
        <v>125</v>
      </c>
    </row>
    <row r="3" spans="1:9" x14ac:dyDescent="0.5">
      <c r="A3" s="75" t="s">
        <v>208</v>
      </c>
      <c r="B3">
        <v>3630</v>
      </c>
      <c r="C3" s="76" t="s">
        <v>124</v>
      </c>
      <c r="D3">
        <v>0.35</v>
      </c>
      <c r="E3">
        <v>1.28</v>
      </c>
      <c r="F3" s="72">
        <v>108</v>
      </c>
      <c r="G3" s="80">
        <f>ROUNDUP((('T-bar'!$J$4)/1.2*'T-bar'!$J$5/($B3/1000)),)*(1+'T-bar'!$J$8)</f>
        <v>5.25</v>
      </c>
      <c r="I3" s="89" t="s">
        <v>126</v>
      </c>
    </row>
    <row r="4" spans="1:9" x14ac:dyDescent="0.5">
      <c r="A4" s="75" t="s">
        <v>209</v>
      </c>
      <c r="B4">
        <v>3600</v>
      </c>
      <c r="C4" s="76" t="s">
        <v>127</v>
      </c>
      <c r="D4">
        <v>0.35</v>
      </c>
      <c r="E4">
        <v>1.48</v>
      </c>
      <c r="F4" s="72">
        <v>126</v>
      </c>
      <c r="G4" s="80">
        <f>ROUNDUP((('T-bar'!$J$4)/1.2*'T-bar'!$J$5/($B4/1000)),)*(1+'T-bar'!$J$8)</f>
        <v>5.25</v>
      </c>
      <c r="I4" s="89" t="s">
        <v>128</v>
      </c>
    </row>
    <row r="5" spans="1:9" x14ac:dyDescent="0.5">
      <c r="A5" s="75" t="s">
        <v>210</v>
      </c>
      <c r="B5">
        <v>3630</v>
      </c>
      <c r="C5" s="76" t="s">
        <v>127</v>
      </c>
      <c r="D5">
        <v>0.35</v>
      </c>
      <c r="E5">
        <v>1.52</v>
      </c>
      <c r="F5" s="72">
        <v>126</v>
      </c>
      <c r="G5" s="80">
        <f>ROUNDUP((('T-bar'!$J$4)/1.2*'T-bar'!$J$5/($B5/1000)),)*(1+'T-bar'!$J$8)</f>
        <v>5.25</v>
      </c>
      <c r="I5" s="89" t="s">
        <v>129</v>
      </c>
    </row>
    <row r="6" spans="1:9" x14ac:dyDescent="0.5">
      <c r="A6" s="75" t="s">
        <v>211</v>
      </c>
      <c r="B6">
        <v>3600</v>
      </c>
      <c r="C6" s="76" t="s">
        <v>130</v>
      </c>
      <c r="D6">
        <v>0.3</v>
      </c>
      <c r="E6">
        <v>0.85</v>
      </c>
      <c r="F6" s="72">
        <v>145</v>
      </c>
      <c r="G6" s="80">
        <f>ROUNDUP((('T-bar'!$J$4)/1.2*'T-bar'!$J$5/($B6/1000)),)*(1+'T-bar'!$J$8)</f>
        <v>5.25</v>
      </c>
      <c r="I6" s="89" t="s">
        <v>131</v>
      </c>
    </row>
    <row r="7" spans="1:9" x14ac:dyDescent="0.5">
      <c r="A7" s="75"/>
      <c r="C7" s="76"/>
      <c r="G7" s="80"/>
    </row>
    <row r="8" spans="1:9" ht="20.399999999999999" x14ac:dyDescent="0.55000000000000004">
      <c r="A8" s="74" t="s">
        <v>133</v>
      </c>
      <c r="B8" t="s">
        <v>83</v>
      </c>
      <c r="C8" t="s">
        <v>84</v>
      </c>
      <c r="D8" s="75" t="s">
        <v>94</v>
      </c>
      <c r="E8" t="s">
        <v>85</v>
      </c>
      <c r="G8" s="73" t="s">
        <v>86</v>
      </c>
    </row>
    <row r="9" spans="1:9" x14ac:dyDescent="0.5">
      <c r="A9" s="75" t="s">
        <v>132</v>
      </c>
      <c r="B9">
        <v>600</v>
      </c>
      <c r="C9" s="76" t="s">
        <v>124</v>
      </c>
      <c r="D9">
        <v>0.35</v>
      </c>
      <c r="E9">
        <v>0.21</v>
      </c>
      <c r="F9" s="72">
        <v>18.5</v>
      </c>
      <c r="G9" s="80">
        <f>ROUNDUP((('T-bar'!$J$4)/1.2*'T-bar'!$J$5/($B9/1000)),)*(1+'T-bar'!$J$8)</f>
        <v>29.400000000000002</v>
      </c>
      <c r="I9" s="89" t="s">
        <v>135</v>
      </c>
    </row>
    <row r="10" spans="1:9" x14ac:dyDescent="0.5">
      <c r="A10" s="75" t="s">
        <v>201</v>
      </c>
      <c r="B10">
        <v>605</v>
      </c>
      <c r="C10" s="76" t="s">
        <v>124</v>
      </c>
      <c r="D10">
        <v>0.35</v>
      </c>
      <c r="E10">
        <v>0.22</v>
      </c>
      <c r="F10" s="72">
        <v>18.5</v>
      </c>
      <c r="G10" s="80">
        <f>ROUNDUP((('T-bar'!$J$4)/1.2*'T-bar'!$J$5/($B10/1000)),)*(1+'T-bar'!$J$8)</f>
        <v>29.400000000000002</v>
      </c>
      <c r="I10" s="89" t="s">
        <v>136</v>
      </c>
    </row>
    <row r="11" spans="1:9" x14ac:dyDescent="0.5">
      <c r="A11" s="75" t="s">
        <v>137</v>
      </c>
      <c r="B11">
        <v>600</v>
      </c>
      <c r="C11" s="76" t="s">
        <v>127</v>
      </c>
      <c r="D11">
        <v>0.35</v>
      </c>
      <c r="E11">
        <v>0.25</v>
      </c>
      <c r="F11" s="72">
        <v>21</v>
      </c>
      <c r="G11" s="80">
        <f>ROUNDUP((('T-bar'!$J$4)/1.2*'T-bar'!$J$5/($B11/1000)),)*(1+'T-bar'!$J$8)</f>
        <v>29.400000000000002</v>
      </c>
      <c r="I11" s="89" t="s">
        <v>139</v>
      </c>
    </row>
    <row r="12" spans="1:9" x14ac:dyDescent="0.5">
      <c r="A12" s="75" t="s">
        <v>202</v>
      </c>
      <c r="B12">
        <v>605</v>
      </c>
      <c r="C12" s="76" t="s">
        <v>127</v>
      </c>
      <c r="D12">
        <v>0.35</v>
      </c>
      <c r="E12">
        <v>0.26</v>
      </c>
      <c r="F12" s="72">
        <v>21</v>
      </c>
      <c r="G12" s="80">
        <f>ROUNDUP((('T-bar'!$J$4)/1.2*'T-bar'!$J$5/($B12/1000)),)*(1+'T-bar'!$J$8)</f>
        <v>29.400000000000002</v>
      </c>
      <c r="I12" s="89" t="s">
        <v>140</v>
      </c>
    </row>
    <row r="13" spans="1:9" x14ac:dyDescent="0.5">
      <c r="A13" s="75" t="s">
        <v>203</v>
      </c>
      <c r="B13">
        <v>600</v>
      </c>
      <c r="C13" s="76" t="s">
        <v>138</v>
      </c>
      <c r="D13">
        <v>0.3</v>
      </c>
      <c r="E13">
        <v>0.13</v>
      </c>
      <c r="F13" s="72">
        <v>23</v>
      </c>
      <c r="G13" s="80">
        <f>ROUNDUP((('T-bar'!$J$4)/1.2*'T-bar'!$J$5/($B13/1000)),)*(1+'T-bar'!$J$8)</f>
        <v>29.400000000000002</v>
      </c>
      <c r="I13" s="89" t="s">
        <v>141</v>
      </c>
    </row>
    <row r="15" spans="1:9" ht="20.399999999999999" x14ac:dyDescent="0.55000000000000004">
      <c r="A15" s="74" t="s">
        <v>134</v>
      </c>
      <c r="B15" t="s">
        <v>83</v>
      </c>
      <c r="C15" t="s">
        <v>84</v>
      </c>
      <c r="D15" s="75" t="s">
        <v>94</v>
      </c>
      <c r="E15" t="s">
        <v>85</v>
      </c>
      <c r="G15" s="73" t="s">
        <v>86</v>
      </c>
    </row>
    <row r="16" spans="1:9" x14ac:dyDescent="0.5">
      <c r="A16" s="75" t="s">
        <v>199</v>
      </c>
      <c r="B16">
        <v>1200</v>
      </c>
      <c r="C16" s="76" t="s">
        <v>124</v>
      </c>
      <c r="D16">
        <v>0.35</v>
      </c>
      <c r="E16">
        <v>0.41</v>
      </c>
      <c r="F16" s="72">
        <v>37</v>
      </c>
      <c r="G16" s="80">
        <f>ROUNDUP((('T-bar'!$J$5)/0.6*'T-bar'!$J$4/($B16/1000)),)*(1+'T-bar'!$J$8)</f>
        <v>29.400000000000002</v>
      </c>
      <c r="I16" s="89" t="s">
        <v>142</v>
      </c>
    </row>
    <row r="17" spans="1:9" x14ac:dyDescent="0.5">
      <c r="A17" s="75" t="s">
        <v>204</v>
      </c>
      <c r="B17">
        <v>1210</v>
      </c>
      <c r="C17" s="76" t="s">
        <v>124</v>
      </c>
      <c r="D17">
        <v>0.35</v>
      </c>
      <c r="E17">
        <v>0.42</v>
      </c>
      <c r="F17" s="72">
        <v>37</v>
      </c>
      <c r="G17" s="80">
        <f>ROUNDUP((('T-bar'!$J$5)/0.6*'T-bar'!$J$4/($B17/1000)),)*(1+'T-bar'!$J$8)</f>
        <v>29.400000000000002</v>
      </c>
      <c r="I17" s="89" t="s">
        <v>143</v>
      </c>
    </row>
    <row r="18" spans="1:9" x14ac:dyDescent="0.5">
      <c r="A18" s="75" t="s">
        <v>200</v>
      </c>
      <c r="B18">
        <v>1200</v>
      </c>
      <c r="C18" s="76" t="s">
        <v>127</v>
      </c>
      <c r="D18">
        <v>0.35</v>
      </c>
      <c r="E18">
        <v>0.49</v>
      </c>
      <c r="F18" s="72">
        <v>42</v>
      </c>
      <c r="G18" s="80">
        <f>ROUNDUP((('T-bar'!$J$5)/0.6*'T-bar'!$J$4/($B18/1000)),)*(1+'T-bar'!$J$8)</f>
        <v>29.400000000000002</v>
      </c>
      <c r="I18" s="89" t="s">
        <v>144</v>
      </c>
    </row>
    <row r="19" spans="1:9" x14ac:dyDescent="0.5">
      <c r="A19" s="75" t="s">
        <v>205</v>
      </c>
      <c r="B19">
        <v>1210</v>
      </c>
      <c r="C19" s="76" t="s">
        <v>127</v>
      </c>
      <c r="D19">
        <v>0.35</v>
      </c>
      <c r="E19">
        <v>0.5</v>
      </c>
      <c r="F19" s="72">
        <v>42</v>
      </c>
      <c r="G19" s="80">
        <f>ROUNDUP((('T-bar'!$J$5)/0.6*'T-bar'!$J$4/($B19/1000)),)*(1+'T-bar'!$J$8)</f>
        <v>29.400000000000002</v>
      </c>
      <c r="I19" s="89" t="s">
        <v>145</v>
      </c>
    </row>
    <row r="20" spans="1:9" x14ac:dyDescent="0.5">
      <c r="A20" s="75" t="s">
        <v>206</v>
      </c>
      <c r="B20">
        <v>1200</v>
      </c>
      <c r="C20" s="76" t="s">
        <v>138</v>
      </c>
      <c r="D20">
        <v>0.3</v>
      </c>
      <c r="E20">
        <v>0.25</v>
      </c>
      <c r="F20" s="72">
        <v>45</v>
      </c>
      <c r="G20" s="80">
        <f>ROUNDUP((('T-bar'!$J$5)/0.6*'T-bar'!$J$4/($B20/1000)),)*(1+'T-bar'!$J$8)</f>
        <v>29.400000000000002</v>
      </c>
      <c r="I20" s="89" t="s">
        <v>146</v>
      </c>
    </row>
    <row r="21" spans="1:9" x14ac:dyDescent="0.5">
      <c r="A21" s="75"/>
      <c r="C21" s="76"/>
      <c r="G21" s="80"/>
      <c r="I21" s="89"/>
    </row>
    <row r="22" spans="1:9" ht="20.399999999999999" x14ac:dyDescent="0.55000000000000004">
      <c r="A22" s="74" t="s">
        <v>102</v>
      </c>
      <c r="B22" t="s">
        <v>83</v>
      </c>
      <c r="C22" t="s">
        <v>84</v>
      </c>
      <c r="D22" s="75" t="s">
        <v>94</v>
      </c>
      <c r="E22" t="s">
        <v>85</v>
      </c>
      <c r="G22" s="73" t="s">
        <v>86</v>
      </c>
    </row>
    <row r="23" spans="1:9" x14ac:dyDescent="0.5">
      <c r="A23" s="75" t="s">
        <v>157</v>
      </c>
      <c r="B23">
        <v>200</v>
      </c>
      <c r="C23">
        <v>4</v>
      </c>
      <c r="D23">
        <v>4</v>
      </c>
      <c r="E23">
        <v>0.02</v>
      </c>
      <c r="F23" s="72">
        <v>2.5</v>
      </c>
      <c r="G23" s="80">
        <f>(ROUNDUP('T-bar'!$D$5/(1.2*1.2),))*(1+'T-bar'!$J$8)</f>
        <v>14.700000000000001</v>
      </c>
      <c r="I23" s="89" t="s">
        <v>105</v>
      </c>
    </row>
    <row r="25" spans="1:9" ht="20.399999999999999" x14ac:dyDescent="0.55000000000000004">
      <c r="A25" s="74" t="s">
        <v>87</v>
      </c>
      <c r="B25" t="s">
        <v>83</v>
      </c>
      <c r="C25" t="s">
        <v>84</v>
      </c>
      <c r="D25" s="75" t="s">
        <v>94</v>
      </c>
      <c r="E25" t="s">
        <v>85</v>
      </c>
      <c r="G25" s="73" t="s">
        <v>86</v>
      </c>
    </row>
    <row r="26" spans="1:9" x14ac:dyDescent="0.5">
      <c r="A26" s="75" t="s">
        <v>87</v>
      </c>
      <c r="B26">
        <v>25</v>
      </c>
      <c r="C26">
        <v>25</v>
      </c>
      <c r="E26">
        <v>1.7999999999999999E-2</v>
      </c>
      <c r="F26" s="72">
        <v>2.25</v>
      </c>
      <c r="G26" s="80">
        <f>(ROUNDUP('T-bar'!$D$5/(1.2*1.2),))*(1+'T-bar'!$J$8)</f>
        <v>14.700000000000001</v>
      </c>
      <c r="I26" s="89" t="s">
        <v>106</v>
      </c>
    </row>
    <row r="28" spans="1:9" ht="20.399999999999999" x14ac:dyDescent="0.55000000000000004">
      <c r="A28" s="74" t="s">
        <v>88</v>
      </c>
      <c r="B28" t="s">
        <v>83</v>
      </c>
      <c r="C28" t="s">
        <v>84</v>
      </c>
      <c r="D28" s="75" t="s">
        <v>94</v>
      </c>
      <c r="E28" t="s">
        <v>85</v>
      </c>
      <c r="G28" s="73" t="s">
        <v>86</v>
      </c>
    </row>
    <row r="29" spans="1:9" x14ac:dyDescent="0.5">
      <c r="A29" s="75" t="s">
        <v>89</v>
      </c>
      <c r="B29">
        <v>90</v>
      </c>
      <c r="C29">
        <v>19</v>
      </c>
      <c r="E29">
        <v>8.9999999999999993E-3</v>
      </c>
      <c r="F29" s="72">
        <v>6</v>
      </c>
      <c r="G29" s="80">
        <f>(ROUNDUP('T-bar'!$D$5/(1.2*1.2),))*(1+'T-bar'!$J$8)</f>
        <v>14.700000000000001</v>
      </c>
      <c r="I29" s="89" t="s">
        <v>107</v>
      </c>
    </row>
    <row r="31" spans="1:9" ht="20.399999999999999" x14ac:dyDescent="0.55000000000000004">
      <c r="A31" s="74" t="s">
        <v>90</v>
      </c>
      <c r="B31" t="s">
        <v>83</v>
      </c>
      <c r="C31" t="s">
        <v>84</v>
      </c>
      <c r="D31" s="75" t="s">
        <v>94</v>
      </c>
      <c r="E31" t="s">
        <v>85</v>
      </c>
      <c r="G31" s="73" t="s">
        <v>86</v>
      </c>
    </row>
    <row r="32" spans="1:9" x14ac:dyDescent="0.5">
      <c r="A32" s="75" t="s">
        <v>103</v>
      </c>
      <c r="B32">
        <v>3000</v>
      </c>
      <c r="D32">
        <v>4</v>
      </c>
      <c r="E32">
        <v>0.3</v>
      </c>
      <c r="F32" s="72">
        <v>20</v>
      </c>
      <c r="G32" s="80">
        <f>((ROUNDUP('T-bar'!$D$5/(1.2*1.2),))*'T-bar'!$D$7/($B32/1000))*(1+'T-bar'!$J$8)</f>
        <v>4.9000000000000004</v>
      </c>
      <c r="I32" s="89" t="s">
        <v>108</v>
      </c>
    </row>
    <row r="34" spans="1:9" ht="20.399999999999999" x14ac:dyDescent="0.55000000000000004">
      <c r="A34" s="74" t="s">
        <v>147</v>
      </c>
      <c r="B34" t="s">
        <v>83</v>
      </c>
      <c r="C34" t="s">
        <v>84</v>
      </c>
      <c r="E34" t="s">
        <v>85</v>
      </c>
    </row>
    <row r="35" spans="1:9" x14ac:dyDescent="0.5">
      <c r="A35" s="75" t="s">
        <v>149</v>
      </c>
      <c r="B35">
        <v>3600</v>
      </c>
      <c r="C35" s="76" t="s">
        <v>148</v>
      </c>
      <c r="D35">
        <v>0.5</v>
      </c>
      <c r="E35">
        <v>0.73</v>
      </c>
      <c r="F35" s="72">
        <v>85</v>
      </c>
      <c r="G35" s="73">
        <f>(ROUNDUP((('T-bar'!$J$4+'T-bar'!$J$5)*2)/($B35/1000),))*(1+'T-bar'!$J$8)</f>
        <v>5.25</v>
      </c>
      <c r="I35" s="89" t="s">
        <v>156</v>
      </c>
    </row>
    <row r="36" spans="1:9" x14ac:dyDescent="0.5">
      <c r="A36" s="75" t="s">
        <v>150</v>
      </c>
      <c r="B36">
        <v>3600</v>
      </c>
      <c r="C36" s="76" t="s">
        <v>152</v>
      </c>
      <c r="D36">
        <v>0.45</v>
      </c>
      <c r="E36">
        <v>0.56000000000000005</v>
      </c>
      <c r="F36" s="72">
        <v>95</v>
      </c>
      <c r="G36" s="73">
        <f>(ROUNDUP((('T-bar'!$J$4+'T-bar'!$J$5)*2)/($B36/1000),))*(1+'T-bar'!$J$8)</f>
        <v>5.25</v>
      </c>
      <c r="I36" s="89" t="s">
        <v>154</v>
      </c>
    </row>
    <row r="37" spans="1:9" x14ac:dyDescent="0.5">
      <c r="A37" s="75" t="s">
        <v>151</v>
      </c>
      <c r="B37">
        <v>3600</v>
      </c>
      <c r="C37" s="76" t="s">
        <v>153</v>
      </c>
      <c r="D37">
        <v>0.45</v>
      </c>
      <c r="E37">
        <v>0.4</v>
      </c>
      <c r="F37" s="72">
        <v>110</v>
      </c>
      <c r="G37" s="73">
        <f>(ROUNDUP((('T-bar'!$J$4+'T-bar'!$J$5)*2)/($B37/1000),))*(1+'T-bar'!$J$8)</f>
        <v>5.25</v>
      </c>
      <c r="I37" s="89" t="s">
        <v>155</v>
      </c>
    </row>
    <row r="39" spans="1:9" ht="20.399999999999999" x14ac:dyDescent="0.55000000000000004">
      <c r="A39" s="74" t="s">
        <v>93</v>
      </c>
      <c r="B39" t="s">
        <v>83</v>
      </c>
      <c r="C39" t="s">
        <v>84</v>
      </c>
      <c r="D39" t="s">
        <v>94</v>
      </c>
      <c r="E39" t="s">
        <v>85</v>
      </c>
      <c r="G39" s="73" t="s">
        <v>86</v>
      </c>
    </row>
    <row r="40" spans="1:9" x14ac:dyDescent="0.5">
      <c r="A40" s="75" t="s">
        <v>186</v>
      </c>
      <c r="B40">
        <v>1195</v>
      </c>
      <c r="C40">
        <v>595</v>
      </c>
      <c r="D40">
        <v>9</v>
      </c>
      <c r="E40">
        <v>3.98</v>
      </c>
      <c r="F40" s="72">
        <v>61</v>
      </c>
      <c r="G40" s="80">
        <f>'T-bar'!$D$6/($B40/1000*$C40/1000)*(1+'T-bar'!$J$8)</f>
        <v>29.53482648289441</v>
      </c>
      <c r="I40" s="89" t="s">
        <v>187</v>
      </c>
    </row>
    <row r="41" spans="1:9" x14ac:dyDescent="0.5">
      <c r="A41" s="75" t="s">
        <v>188</v>
      </c>
      <c r="B41">
        <v>1195</v>
      </c>
      <c r="C41">
        <v>595</v>
      </c>
      <c r="D41">
        <v>12</v>
      </c>
      <c r="E41">
        <v>5.69</v>
      </c>
      <c r="F41" s="72">
        <v>73</v>
      </c>
      <c r="G41" s="80">
        <f>'T-bar'!$D$6/($B41/1000*$C41/1000)*(1+'T-bar'!$J$8)</f>
        <v>29.53482648289441</v>
      </c>
      <c r="I41" s="89" t="s">
        <v>189</v>
      </c>
    </row>
    <row r="42" spans="1:9" ht="20.399999999999999" x14ac:dyDescent="0.55000000000000004">
      <c r="A42" s="74"/>
      <c r="G42" s="80"/>
    </row>
    <row r="43" spans="1:9" x14ac:dyDescent="0.5">
      <c r="A43" s="75" t="s">
        <v>191</v>
      </c>
      <c r="B43">
        <v>1195</v>
      </c>
      <c r="C43">
        <v>595</v>
      </c>
      <c r="D43">
        <v>9</v>
      </c>
      <c r="E43">
        <v>4.92</v>
      </c>
      <c r="F43" s="72">
        <v>89</v>
      </c>
      <c r="G43" s="80">
        <f>'T-bar'!$D$6/($B43/1000*$C43/1000)*(1+'T-bar'!$J$8)</f>
        <v>29.53482648289441</v>
      </c>
      <c r="I43" s="89" t="s">
        <v>190</v>
      </c>
    </row>
    <row r="44" spans="1:9" x14ac:dyDescent="0.5">
      <c r="A44" s="75" t="s">
        <v>192</v>
      </c>
      <c r="B44">
        <v>1195</v>
      </c>
      <c r="C44">
        <v>595</v>
      </c>
      <c r="D44">
        <v>12</v>
      </c>
      <c r="E44">
        <v>6.33</v>
      </c>
      <c r="F44" s="72">
        <v>106</v>
      </c>
      <c r="G44" s="80">
        <f>'T-bar'!$D$6/($B44/1000*$C44/1000)*(1+'T-bar'!$J$8)</f>
        <v>29.53482648289441</v>
      </c>
      <c r="I44" s="89" t="s">
        <v>193</v>
      </c>
    </row>
    <row r="45" spans="1:9" ht="20.399999999999999" x14ac:dyDescent="0.55000000000000004">
      <c r="A45" s="74"/>
      <c r="G45" s="80"/>
    </row>
    <row r="46" spans="1:9" x14ac:dyDescent="0.5">
      <c r="A46" s="75" t="s">
        <v>194</v>
      </c>
      <c r="B46">
        <v>1195</v>
      </c>
      <c r="C46">
        <v>595</v>
      </c>
      <c r="D46">
        <v>9</v>
      </c>
      <c r="E46">
        <v>3.98</v>
      </c>
      <c r="F46" s="72">
        <v>89</v>
      </c>
      <c r="G46" s="80">
        <f>'T-bar'!$D$6/($B46/1000*$C46/1000)*(1+'T-bar'!$J$8)</f>
        <v>29.53482648289441</v>
      </c>
      <c r="I46" s="89" t="s">
        <v>196</v>
      </c>
    </row>
    <row r="47" spans="1:9" x14ac:dyDescent="0.5">
      <c r="A47" s="75" t="s">
        <v>195</v>
      </c>
      <c r="B47">
        <v>1195</v>
      </c>
      <c r="C47">
        <v>595</v>
      </c>
      <c r="D47">
        <v>12</v>
      </c>
      <c r="E47">
        <v>5.69</v>
      </c>
      <c r="F47" s="72">
        <v>106</v>
      </c>
      <c r="G47" s="80">
        <f>'T-bar'!$D$6/($B47/1000*$C47/1000)*(1+'T-bar'!$J$8)</f>
        <v>29.53482648289441</v>
      </c>
      <c r="I47" s="89" t="s">
        <v>197</v>
      </c>
    </row>
    <row r="48" spans="1:9" ht="20.399999999999999" x14ac:dyDescent="0.55000000000000004">
      <c r="A48" s="74"/>
    </row>
    <row r="49" spans="1:9" x14ac:dyDescent="0.5">
      <c r="A49" t="s">
        <v>158</v>
      </c>
      <c r="B49">
        <v>595</v>
      </c>
      <c r="C49">
        <v>1195</v>
      </c>
      <c r="D49">
        <v>9</v>
      </c>
      <c r="E49">
        <v>3.98</v>
      </c>
      <c r="F49" s="72">
        <v>70</v>
      </c>
      <c r="G49" s="80">
        <f>'T-bar'!$D$6/($B49/1000*$C49/1000)*(1+'T-bar'!$J$8)</f>
        <v>29.534826482894413</v>
      </c>
      <c r="I49" s="89" t="s">
        <v>160</v>
      </c>
    </row>
    <row r="50" spans="1:9" x14ac:dyDescent="0.5">
      <c r="A50" t="s">
        <v>159</v>
      </c>
      <c r="B50">
        <v>595</v>
      </c>
      <c r="C50">
        <v>1195</v>
      </c>
      <c r="D50">
        <v>12</v>
      </c>
      <c r="E50">
        <v>5.69</v>
      </c>
      <c r="F50" s="72">
        <v>79</v>
      </c>
      <c r="G50" s="80">
        <f>'T-bar'!$D$6/($B50/1000*$C50/1000)*(1+'T-bar'!$J$8)</f>
        <v>29.534826482894413</v>
      </c>
      <c r="I50" s="88" t="s">
        <v>161</v>
      </c>
    </row>
    <row r="51" spans="1:9" x14ac:dyDescent="0.5">
      <c r="G51" s="80"/>
    </row>
    <row r="52" spans="1:9" x14ac:dyDescent="0.5">
      <c r="A52" t="s">
        <v>162</v>
      </c>
      <c r="B52">
        <v>595</v>
      </c>
      <c r="C52">
        <v>1195</v>
      </c>
      <c r="D52">
        <v>9</v>
      </c>
      <c r="E52">
        <v>4.92</v>
      </c>
      <c r="F52" s="72">
        <v>92</v>
      </c>
      <c r="G52" s="80">
        <f>'T-bar'!$D$6/($B52/1000*$C52/1000)*(1+'T-bar'!$J$8)</f>
        <v>29.534826482894413</v>
      </c>
      <c r="I52" s="88" t="s">
        <v>164</v>
      </c>
    </row>
    <row r="53" spans="1:9" x14ac:dyDescent="0.5">
      <c r="A53" t="s">
        <v>163</v>
      </c>
      <c r="B53">
        <v>595</v>
      </c>
      <c r="C53">
        <v>1195</v>
      </c>
      <c r="D53">
        <v>12</v>
      </c>
      <c r="E53">
        <v>6.5</v>
      </c>
      <c r="F53" s="72">
        <v>111</v>
      </c>
      <c r="G53" s="80">
        <f>'T-bar'!$D$6/($B53/1000*$C53/1000)*(1+'T-bar'!$J$8)</f>
        <v>29.534826482894413</v>
      </c>
      <c r="I53" s="88" t="s">
        <v>165</v>
      </c>
    </row>
    <row r="55" spans="1:9" x14ac:dyDescent="0.5">
      <c r="A55" t="s">
        <v>166</v>
      </c>
      <c r="B55">
        <v>595</v>
      </c>
      <c r="C55">
        <v>1195</v>
      </c>
      <c r="D55">
        <v>12</v>
      </c>
      <c r="E55">
        <v>5.69</v>
      </c>
      <c r="F55" s="72">
        <v>111</v>
      </c>
      <c r="G55" s="80">
        <f>'T-bar'!$D$6/($B55/1000*$C55/1000)*(1+'T-bar'!$J$8)</f>
        <v>29.534826482894413</v>
      </c>
      <c r="I55" s="88" t="s">
        <v>167</v>
      </c>
    </row>
    <row r="57" spans="1:9" x14ac:dyDescent="0.5">
      <c r="A57" t="s">
        <v>169</v>
      </c>
      <c r="B57">
        <v>595</v>
      </c>
      <c r="C57">
        <v>1195</v>
      </c>
      <c r="D57">
        <v>12</v>
      </c>
      <c r="E57">
        <v>5.69</v>
      </c>
      <c r="F57" s="72">
        <v>99</v>
      </c>
      <c r="G57" s="80">
        <f>'T-bar'!$D$6/($B57/1000*$C57/1000)*(1+'T-bar'!$J$8)</f>
        <v>29.534826482894413</v>
      </c>
      <c r="I57" s="88" t="s">
        <v>168</v>
      </c>
    </row>
    <row r="58" spans="1:9" x14ac:dyDescent="0.5">
      <c r="A58" t="s">
        <v>170</v>
      </c>
      <c r="B58">
        <v>595</v>
      </c>
      <c r="C58">
        <v>1195</v>
      </c>
      <c r="D58">
        <v>12</v>
      </c>
      <c r="E58">
        <v>5.69</v>
      </c>
      <c r="F58" s="72">
        <v>99</v>
      </c>
      <c r="G58" s="80">
        <f>'T-bar'!$D$6/($B58/1000*$C58/1000)*(1+'T-bar'!$J$8)</f>
        <v>29.534826482894413</v>
      </c>
      <c r="I58" s="88" t="s">
        <v>173</v>
      </c>
    </row>
    <row r="59" spans="1:9" x14ac:dyDescent="0.5">
      <c r="A59" t="s">
        <v>171</v>
      </c>
      <c r="B59">
        <v>595</v>
      </c>
      <c r="C59">
        <v>1195</v>
      </c>
      <c r="D59">
        <v>12</v>
      </c>
      <c r="E59">
        <v>5.69</v>
      </c>
      <c r="F59" s="72">
        <v>99</v>
      </c>
      <c r="G59" s="80">
        <f>'T-bar'!$D$6/($B59/1000*$C59/1000)*(1+'T-bar'!$J$8)</f>
        <v>29.534826482894413</v>
      </c>
      <c r="I59" s="88" t="s">
        <v>174</v>
      </c>
    </row>
    <row r="60" spans="1:9" x14ac:dyDescent="0.5">
      <c r="A60" t="s">
        <v>172</v>
      </c>
      <c r="B60">
        <v>595</v>
      </c>
      <c r="C60">
        <v>1195</v>
      </c>
      <c r="D60">
        <v>12</v>
      </c>
      <c r="E60">
        <v>5.69</v>
      </c>
      <c r="F60" s="72">
        <v>99</v>
      </c>
      <c r="G60" s="80">
        <f>'T-bar'!$D$6/($B60/1000*$C60/1000)*(1+'T-bar'!$J$8)</f>
        <v>29.534826482894413</v>
      </c>
      <c r="I60" s="88" t="s">
        <v>175</v>
      </c>
    </row>
    <row r="61" spans="1:9" x14ac:dyDescent="0.5">
      <c r="G61" s="80"/>
    </row>
    <row r="62" spans="1:9" x14ac:dyDescent="0.5">
      <c r="A62" t="s">
        <v>176</v>
      </c>
      <c r="B62">
        <v>595</v>
      </c>
      <c r="C62">
        <v>1195</v>
      </c>
      <c r="D62">
        <v>12</v>
      </c>
      <c r="E62">
        <v>5.69</v>
      </c>
      <c r="F62" s="72">
        <v>139</v>
      </c>
      <c r="G62" s="80">
        <f>'T-bar'!$D$6/($B62/1000*$C62/1000)*(1+'T-bar'!$J$8)</f>
        <v>29.534826482894413</v>
      </c>
      <c r="I62" s="88" t="s">
        <v>177</v>
      </c>
    </row>
    <row r="63" spans="1:9" x14ac:dyDescent="0.5">
      <c r="A63" t="s">
        <v>178</v>
      </c>
      <c r="B63">
        <v>595</v>
      </c>
      <c r="C63">
        <v>1195</v>
      </c>
      <c r="D63">
        <v>12</v>
      </c>
      <c r="E63">
        <v>5.69</v>
      </c>
      <c r="F63" s="72">
        <v>139</v>
      </c>
      <c r="G63" s="80">
        <f>'T-bar'!$D$6/($B63/1000*$C63/1000)*(1+'T-bar'!$J$8)</f>
        <v>29.534826482894413</v>
      </c>
      <c r="I63" s="88" t="s">
        <v>180</v>
      </c>
    </row>
    <row r="64" spans="1:9" x14ac:dyDescent="0.5">
      <c r="A64" t="s">
        <v>179</v>
      </c>
      <c r="B64">
        <v>595</v>
      </c>
      <c r="C64">
        <v>1195</v>
      </c>
      <c r="D64">
        <v>12</v>
      </c>
      <c r="E64">
        <v>5.69</v>
      </c>
      <c r="F64" s="72">
        <v>139</v>
      </c>
      <c r="G64" s="80">
        <f>'T-bar'!$D$6/($B64/1000*$C64/1000)*(1+'T-bar'!$J$8)</f>
        <v>29.534826482894413</v>
      </c>
      <c r="I64" s="88" t="s">
        <v>181</v>
      </c>
    </row>
    <row r="65" spans="1:9" x14ac:dyDescent="0.5">
      <c r="G65" s="80"/>
    </row>
    <row r="66" spans="1:9" x14ac:dyDescent="0.5">
      <c r="A66" t="s">
        <v>182</v>
      </c>
      <c r="B66">
        <v>595</v>
      </c>
      <c r="C66">
        <v>1195</v>
      </c>
      <c r="D66">
        <v>16</v>
      </c>
      <c r="E66">
        <v>2.44</v>
      </c>
      <c r="F66" s="72">
        <v>200</v>
      </c>
      <c r="G66" s="80">
        <f>'T-bar'!$D$6/($B66/1000*$C66/1000)*(1+'T-bar'!$J$8)</f>
        <v>29.534826482894413</v>
      </c>
      <c r="I66" s="88" t="s">
        <v>184</v>
      </c>
    </row>
    <row r="67" spans="1:9" x14ac:dyDescent="0.5">
      <c r="A67" t="s">
        <v>183</v>
      </c>
      <c r="B67">
        <v>595</v>
      </c>
      <c r="C67">
        <v>1195</v>
      </c>
      <c r="D67">
        <v>16</v>
      </c>
      <c r="E67">
        <v>2.44</v>
      </c>
      <c r="F67" s="72">
        <v>280</v>
      </c>
      <c r="G67" s="80">
        <f>'T-bar'!$D$6/($B67/1000*$C67/1000)*(1+'T-bar'!$J$8)</f>
        <v>29.534826482894413</v>
      </c>
      <c r="I67" s="88" t="s">
        <v>185</v>
      </c>
    </row>
    <row r="69" spans="1:9" ht="20.399999999999999" x14ac:dyDescent="0.55000000000000004">
      <c r="A69" s="74" t="s">
        <v>95</v>
      </c>
      <c r="B69" t="s">
        <v>83</v>
      </c>
      <c r="E69" t="s">
        <v>85</v>
      </c>
      <c r="G69" s="73" t="s">
        <v>86</v>
      </c>
    </row>
    <row r="70" spans="1:9" x14ac:dyDescent="0.5">
      <c r="A70" t="s">
        <v>92</v>
      </c>
      <c r="B70">
        <v>33</v>
      </c>
      <c r="E70">
        <v>0.01</v>
      </c>
      <c r="F70" s="72">
        <v>2</v>
      </c>
      <c r="G70" s="80">
        <f>(ROUNDUP('T-bar'!$D$5/(1.2*1.2),))*(1+'T-bar'!$J$8)</f>
        <v>14.700000000000001</v>
      </c>
      <c r="I70" s="88" t="s">
        <v>109</v>
      </c>
    </row>
    <row r="72" spans="1:9" ht="20.399999999999999" x14ac:dyDescent="0.55000000000000004">
      <c r="A72" s="74" t="s">
        <v>96</v>
      </c>
      <c r="B72" t="s">
        <v>97</v>
      </c>
      <c r="E72" t="s">
        <v>85</v>
      </c>
      <c r="G72" s="73" t="s">
        <v>86</v>
      </c>
    </row>
    <row r="73" spans="1:9" x14ac:dyDescent="0.5">
      <c r="A73" t="s">
        <v>98</v>
      </c>
      <c r="B73">
        <v>1200</v>
      </c>
      <c r="C73">
        <v>15000</v>
      </c>
      <c r="D73">
        <v>50</v>
      </c>
      <c r="E73">
        <v>21.599999999999998</v>
      </c>
      <c r="F73" s="72">
        <v>3270</v>
      </c>
      <c r="G73" s="80">
        <f>'T-bar'!$D$6/($B73/1000*$C73/1000)*(1+'T-bar'!$J$8)</f>
        <v>1.1666666666666667</v>
      </c>
    </row>
    <row r="74" spans="1:9" x14ac:dyDescent="0.5">
      <c r="A74" t="s">
        <v>99</v>
      </c>
      <c r="B74">
        <v>600</v>
      </c>
      <c r="C74">
        <v>1200</v>
      </c>
      <c r="D74">
        <v>50</v>
      </c>
      <c r="E74">
        <v>1.44</v>
      </c>
      <c r="F74" s="72">
        <v>108</v>
      </c>
      <c r="G74" s="80">
        <f>'T-bar'!$D$6/($B74/1000*$C74/1000)*(1+'T-bar'!$J$8)</f>
        <v>29.166666666666668</v>
      </c>
    </row>
    <row r="75" spans="1:9" x14ac:dyDescent="0.5">
      <c r="A75" t="s">
        <v>100</v>
      </c>
      <c r="B75">
        <v>1200</v>
      </c>
      <c r="C75">
        <v>15000</v>
      </c>
      <c r="D75">
        <v>50</v>
      </c>
      <c r="E75">
        <f>24*1.2*15*0.05</f>
        <v>21.599999999999998</v>
      </c>
      <c r="F75" s="72">
        <v>3100</v>
      </c>
      <c r="G75" s="80">
        <f>'T-bar'!$D$6/($B75/1000*$C75/1000)*(1+'T-bar'!$J$8)</f>
        <v>1.1666666666666667</v>
      </c>
      <c r="I75" s="88" t="s">
        <v>110</v>
      </c>
    </row>
    <row r="76" spans="1:9" x14ac:dyDescent="0.5">
      <c r="A76" t="s">
        <v>101</v>
      </c>
      <c r="B76">
        <v>1200</v>
      </c>
      <c r="C76">
        <v>10000</v>
      </c>
      <c r="D76">
        <v>50</v>
      </c>
      <c r="E76">
        <f>40*1.2*10*0.05</f>
        <v>24</v>
      </c>
      <c r="F76" s="72">
        <v>3800</v>
      </c>
      <c r="G76" s="80">
        <f>'T-bar'!$D$6/($B76/1000*$C76/1000)*(1+'T-bar'!$J$8)</f>
        <v>1.7500000000000002</v>
      </c>
      <c r="I76" s="88" t="s">
        <v>111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60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99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00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0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03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03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T-bar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2019-10-21T02:23:02Z</cp:lastPrinted>
  <dcterms:created xsi:type="dcterms:W3CDTF">2000-02-15T08:37:35Z</dcterms:created>
  <dcterms:modified xsi:type="dcterms:W3CDTF">2020-04-07T07:19:57Z</dcterms:modified>
</cp:coreProperties>
</file>