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0" i="80" l="1"/>
  <c r="G10" i="80"/>
  <c r="E10" i="80"/>
  <c r="G49" i="98"/>
  <c r="G2" i="98" l="1"/>
  <c r="H9" i="80" l="1"/>
  <c r="A9" i="80"/>
  <c r="H2" i="98"/>
  <c r="E9" i="80" l="1"/>
  <c r="G9" i="80" s="1"/>
  <c r="H13" i="80" l="1"/>
  <c r="H12" i="80"/>
  <c r="H14" i="80" l="1"/>
  <c r="G112" i="98"/>
  <c r="G113" i="98"/>
  <c r="G111" i="98"/>
  <c r="E14" i="80" s="1"/>
  <c r="G14" i="80" s="1"/>
  <c r="G110" i="98"/>
  <c r="J14" i="80" l="1"/>
  <c r="G108" i="98"/>
  <c r="G107" i="98"/>
  <c r="E56" i="98"/>
  <c r="E55" i="98"/>
  <c r="G45" i="98" l="1"/>
  <c r="A12" i="80" l="1"/>
  <c r="A11" i="80"/>
  <c r="A10" i="80"/>
  <c r="H11" i="80" l="1"/>
  <c r="G46" i="98"/>
  <c r="G17" i="98"/>
  <c r="G18" i="98"/>
  <c r="G16" i="98"/>
  <c r="G12" i="98"/>
  <c r="G13" i="98"/>
  <c r="G11" i="98"/>
  <c r="E103" i="98"/>
  <c r="E102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F14" i="80" l="1"/>
  <c r="G56" i="98"/>
  <c r="G54" i="98"/>
  <c r="G55" i="98"/>
  <c r="G66" i="98"/>
  <c r="G30" i="98"/>
  <c r="G39" i="98"/>
  <c r="G33" i="98"/>
  <c r="G32" i="98"/>
  <c r="G58" i="98"/>
  <c r="G52" i="98"/>
  <c r="G62" i="98"/>
  <c r="G23" i="98"/>
  <c r="G31" i="98"/>
  <c r="G22" i="98"/>
  <c r="G36" i="98"/>
  <c r="G51" i="98"/>
  <c r="G21" i="98"/>
  <c r="G60" i="98"/>
  <c r="G70" i="98"/>
  <c r="G64" i="98"/>
  <c r="D6" i="80"/>
  <c r="G83" i="98" s="1"/>
  <c r="G42" i="98"/>
  <c r="G67" i="98"/>
  <c r="G27" i="98" l="1"/>
  <c r="J9" i="80"/>
  <c r="F9" i="80"/>
  <c r="G26" i="98"/>
  <c r="G99" i="98"/>
  <c r="E13" i="80" s="1"/>
  <c r="G13" i="80" s="1"/>
  <c r="G78" i="98"/>
  <c r="G74" i="98"/>
  <c r="G73" i="98"/>
  <c r="G82" i="98"/>
  <c r="G81" i="98"/>
  <c r="G77" i="98"/>
  <c r="G92" i="98"/>
  <c r="G103" i="98"/>
  <c r="G75" i="98"/>
  <c r="G102" i="98"/>
  <c r="G93" i="98"/>
  <c r="G76" i="98"/>
  <c r="G84" i="98"/>
  <c r="J13" i="80" l="1"/>
  <c r="F13" i="80"/>
  <c r="G96" i="98"/>
  <c r="G88" i="98"/>
  <c r="E11" i="80"/>
  <c r="F10" i="80"/>
  <c r="J10" i="80"/>
  <c r="G97" i="98"/>
  <c r="E12" i="80" s="1"/>
  <c r="G12" i="80" s="1"/>
  <c r="J11" i="80" l="1"/>
  <c r="G11" i="80"/>
  <c r="F11" i="80"/>
  <c r="F12" i="80"/>
  <c r="J12" i="80"/>
  <c r="J16" i="80" l="1"/>
  <c r="J17" i="80" s="1"/>
  <c r="G16" i="80"/>
  <c r="G17" i="80" s="1"/>
</calcChain>
</file>

<file path=xl/comments1.xml><?xml version="1.0" encoding="utf-8"?>
<comments xmlns="http://schemas.openxmlformats.org/spreadsheetml/2006/main">
  <authors>
    <author>CHAROENRAT, Dhittita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02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03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  <comment ref="A110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  <comment ref="A112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13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</commentList>
</comments>
</file>

<file path=xl/sharedStrings.xml><?xml version="1.0" encoding="utf-8"?>
<sst xmlns="http://schemas.openxmlformats.org/spreadsheetml/2006/main" count="478" uniqueCount="239">
  <si>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</si>
  <si>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</si>
  <si>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</si>
  <si>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</si>
  <si>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</si>
  <si>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</si>
  <si>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</si>
  <si>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</si>
  <si>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</si>
  <si>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</si>
  <si>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</si>
  <si>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</si>
  <si>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</si>
  <si>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</si>
  <si>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</si>
  <si>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</si>
  <si>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</si>
  <si>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</si>
  <si>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</si>
  <si>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</si>
  <si>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</si>
  <si>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</si>
  <si>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</si>
  <si>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</si>
  <si>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</si>
  <si>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</si>
  <si>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</si>
  <si>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</si>
  <si>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</si>
  <si>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</si>
  <si>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</si>
  <si>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</si>
  <si>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</si>
  <si>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</si>
  <si>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</si>
  <si>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</si>
  <si>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</si>
  <si>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</si>
  <si>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</si>
  <si>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</si>
  <si>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</si>
  <si>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</si>
  <si>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</si>
  <si>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</si>
  <si>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</si>
  <si>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</si>
  <si>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</si>
  <si>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</si>
  <si>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</si>
  <si>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</si>
  <si>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</si>
  <si>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</si>
  <si>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</si>
  <si>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</si>
  <si>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</si>
  <si>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</si>
  <si>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</si>
  <si>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</si>
  <si>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</si>
  <si>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</si>
  <si>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</si>
  <si>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</si>
  <si>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</si>
  <si>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</si>
  <si>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</si>
  <si>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</si>
  <si>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</si>
  <si>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</si>
  <si>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</si>
  <si>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</si>
  <si>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ม.</t>
  </si>
  <si>
    <t>จำนวนที่ใช้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</si>
  <si>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</si>
  <si>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</si>
  <si>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</si>
  <si>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</si>
  <si>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</si>
  <si>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</si>
  <si>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</si>
  <si>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</si>
  <si>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length</t>
  </si>
  <si>
    <t>width</t>
  </si>
  <si>
    <t>kg/unit</t>
  </si>
  <si>
    <t>usage</t>
  </si>
  <si>
    <t>Weight</t>
  </si>
  <si>
    <t>Angle</t>
  </si>
  <si>
    <t>ML50A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</si>
  <si>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</si>
  <si>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</si>
  <si>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</si>
  <si>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</si>
  <si>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</si>
  <si>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</si>
  <si>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</si>
  <si>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</si>
  <si>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</si>
  <si>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</si>
  <si>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</si>
  <si>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</si>
  <si>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</si>
  <si>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</si>
  <si>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</si>
  <si>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</si>
  <si>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</si>
  <si>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</si>
  <si>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</si>
  <si>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</si>
  <si>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</si>
  <si>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</si>
  <si>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</si>
  <si>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12mm 1200x2400</t>
  </si>
  <si>
    <t>RG 15mm 1200x2400</t>
  </si>
  <si>
    <t>DU 13mm 1200x2400</t>
  </si>
  <si>
    <t>Habito 12.5mm 1200x2400</t>
  </si>
  <si>
    <t>Glasroc H 12.5mm 1200x2400</t>
  </si>
  <si>
    <t>MR 12mm 1200x2400</t>
  </si>
  <si>
    <t>FS 13mm 1200x2400</t>
  </si>
  <si>
    <t>FS 16mm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</si>
  <si>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</si>
  <si>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</si>
  <si>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</si>
  <si>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</si>
  <si>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</si>
  <si>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</si>
  <si>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</si>
  <si>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</si>
  <si>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</si>
  <si>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</si>
  <si>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</si>
  <si>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</si>
  <si>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</si>
  <si>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</si>
  <si>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</si>
  <si>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</si>
  <si>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</si>
  <si>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</si>
  <si>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</si>
  <si>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</si>
  <si>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</si>
  <si>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</si>
  <si>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</si>
  <si>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</si>
  <si>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</si>
  <si>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</si>
  <si>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</si>
  <si>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</si>
  <si>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</si>
  <si>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</si>
  <si>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</si>
  <si>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</si>
  <si>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</si>
  <si>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</si>
  <si>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</si>
  <si>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</si>
  <si>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</si>
  <si>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</si>
  <si>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520010020000001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</si>
  <si>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</si>
  <si>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</si>
  <si>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</si>
  <si>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</si>
  <si>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</si>
  <si>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</si>
  <si>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</si>
  <si>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</si>
  <si>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</si>
  <si>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</si>
  <si>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</si>
  <si>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</si>
  <si>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</si>
  <si>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</si>
  <si>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</si>
  <si>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</si>
  <si>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</si>
  <si>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</si>
  <si>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100010020000044</t>
  </si>
  <si>
    <t>100010020000070</t>
  </si>
  <si>
    <t>100170020000002</t>
  </si>
  <si>
    <t>100020021300001</t>
  </si>
  <si>
    <t>100180020000001</t>
  </si>
  <si>
    <t>100040020000007</t>
  </si>
  <si>
    <t>100020020000009</t>
  </si>
  <si>
    <t>100020020000013</t>
  </si>
  <si>
    <t>M2TECH 12mm 1200x2400</t>
  </si>
  <si>
    <t>100160020000011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</si>
  <si>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</si>
  <si>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</si>
  <si>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</si>
  <si>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</si>
  <si>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</si>
  <si>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</si>
  <si>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</si>
  <si>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</si>
  <si>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</si>
  <si>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</si>
  <si>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</si>
  <si>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</si>
  <si>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</si>
  <si>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</si>
  <si>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</si>
  <si>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</si>
  <si>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</si>
  <si>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</si>
  <si>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</si>
  <si>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</si>
  <si>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Fiber mesh 5I</t>
  </si>
  <si>
    <t>DU 16mm 1200x2400</t>
  </si>
  <si>
    <t>100020021600004</t>
  </si>
  <si>
    <t>ความสูงของผนัง</t>
  </si>
  <si>
    <t>ความยาวผนัง</t>
  </si>
  <si>
    <t>พื้นที่เปียก - Weber.tape fiber Mesh 5
พื้นที่แห้ง - Gyproc Cotton tape</t>
  </si>
  <si>
    <t>100020021600001</t>
  </si>
  <si>
    <t>DU MR 16mm 1200x2400</t>
  </si>
  <si>
    <t>N/A</t>
  </si>
  <si>
    <t>Fire sealant 580ml</t>
  </si>
  <si>
    <t>Plasterboard (1st layer)</t>
  </si>
  <si>
    <t>งานผนัง - Gypfill SuperJoint</t>
  </si>
  <si>
    <t>Weber Dry Top (For MR)</t>
  </si>
  <si>
    <t>Weber Dry Top (For GlasRoc)</t>
  </si>
  <si>
    <t>Weber Dry 2Flex (For MR)</t>
  </si>
  <si>
    <t>Weber Dry 2Flex (For GlasRoc)</t>
  </si>
  <si>
    <t>Waterproof tape</t>
  </si>
  <si>
    <t>Waterproof</t>
  </si>
  <si>
    <t>ถัง</t>
  </si>
  <si>
    <r>
      <t xml:space="preserve">Wet area only
</t>
    </r>
    <r>
      <rPr>
        <b/>
        <sz val="14"/>
        <color rgb="FFFF0000"/>
        <rFont val="AngsanaUPC"/>
        <family val="1"/>
      </rPr>
      <t>***Confirm item code&amp;price กับ PM หากไม่มีตัดออก</t>
    </r>
  </si>
  <si>
    <t>NA</t>
  </si>
  <si>
    <t>ถุง (25 kg.)</t>
  </si>
  <si>
    <t>ม้วน (25 m.)</t>
  </si>
  <si>
    <t>Drywall screw (2nd layer)</t>
  </si>
  <si>
    <t>Drywall screw (1st layer)</t>
  </si>
  <si>
    <t>Adhesive Plaster</t>
  </si>
  <si>
    <t>420020020100002</t>
  </si>
  <si>
    <t>พื้นที่ติดตั้งปูนกาว</t>
  </si>
  <si>
    <t>พื้นที่ติดตั้งแผ่นยิปซัม</t>
  </si>
  <si>
    <t>DriLyner Trowel</t>
  </si>
  <si>
    <t>ผนังกรุทับ DriLyner ติดตั้งด้วยเกรียงหวี ติดแผ่น 12มม. ขึ้นไป และ X20</t>
  </si>
  <si>
    <t>X20 9.2mm 1200x2400</t>
  </si>
  <si>
    <t>100010020920001</t>
  </si>
  <si>
    <t>Revised 13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</si>
</sst>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b/>
      <u/>
      <sz val="14"/>
      <color rgb="FFFF0000"/>
      <name val="AngsanaUPC"/>
      <family val="1"/>
    </font>
    <font>
      <b/>
      <sz val="14"/>
      <color rgb="FFFF0000"/>
      <name val="AngsanaUPC"/>
      <family val="1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24" borderId="25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9" fontId="3" fillId="0" borderId="0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0" fillId="0" borderId="0" xfId="0" applyAlignment="1">
      <alignment horizontal="center"/>
    </xf>
    <xf numFmtId="0" fontId="36" fillId="0" borderId="0" xfId="0" quotePrefix="1" applyFont="1"/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0" fillId="23" borderId="23" xfId="0" applyFill="1" applyBorder="1"/>
    <xf numFmtId="0" fontId="0" fillId="23" borderId="17" xfId="0" applyFill="1" applyBorder="1"/>
    <xf numFmtId="0" fontId="1" fillId="23" borderId="16" xfId="0" applyFont="1" applyFill="1" applyBorder="1" applyAlignment="1">
      <alignment wrapText="1"/>
    </xf>
    <xf numFmtId="0" fontId="0" fillId="27" borderId="0" xfId="0" applyFill="1"/>
    <xf numFmtId="0" fontId="37" fillId="0" borderId="16" xfId="0" applyFont="1" applyFill="1" applyBorder="1" applyAlignment="1">
      <alignment wrapText="1"/>
    </xf>
    <xf numFmtId="0" fontId="37" fillId="0" borderId="13" xfId="0" applyFont="1" applyFill="1" applyBorder="1"/>
    <xf numFmtId="0" fontId="37" fillId="0" borderId="17" xfId="0" applyFont="1" applyFill="1" applyBorder="1"/>
    <xf numFmtId="0" fontId="37" fillId="0" borderId="27" xfId="0" applyFont="1" applyFill="1" applyBorder="1" applyAlignment="1">
      <alignment horizontal="center"/>
    </xf>
    <xf numFmtId="2" fontId="37" fillId="0" borderId="10" xfId="0" applyNumberFormat="1" applyFont="1" applyFill="1" applyBorder="1" applyAlignment="1">
      <alignment horizontal="center"/>
    </xf>
    <xf numFmtId="2" fontId="37" fillId="0" borderId="12" xfId="0" applyNumberFormat="1" applyFont="1" applyFill="1" applyBorder="1" applyAlignment="1">
      <alignment horizontal="center"/>
    </xf>
    <xf numFmtId="4" fontId="37" fillId="0" borderId="12" xfId="0" applyNumberFormat="1" applyFont="1" applyFill="1" applyBorder="1" applyAlignment="1">
      <alignment horizontal="center"/>
    </xf>
    <xf numFmtId="9" fontId="37" fillId="0" borderId="28" xfId="0" applyNumberFormat="1" applyFont="1" applyFill="1" applyBorder="1" applyAlignment="1">
      <alignment horizontal="center"/>
    </xf>
    <xf numFmtId="4" fontId="37" fillId="0" borderId="13" xfId="0" applyNumberFormat="1" applyFont="1" applyBorder="1" applyAlignment="1">
      <alignment horizontal="center"/>
    </xf>
    <xf numFmtId="0" fontId="37" fillId="0" borderId="10" xfId="0" applyFont="1" applyFill="1" applyBorder="1"/>
    <xf numFmtId="0" fontId="37" fillId="0" borderId="26" xfId="0" applyFont="1" applyFill="1" applyBorder="1"/>
    <xf numFmtId="0" fontId="2" fillId="23" borderId="17" xfId="0" applyFont="1" applyFill="1" applyBorder="1" applyAlignment="1">
      <alignment horizontal="center"/>
    </xf>
    <xf numFmtId="0" fontId="1" fillId="0" borderId="0" xfId="0" applyFont="1"/>
    <xf numFmtId="0" fontId="0" fillId="23" borderId="0" xfId="0" applyFill="1" applyBorder="1" applyAlignment="1">
      <alignment horizontal="left"/>
    </xf>
    <xf numFmtId="0" fontId="13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8" fillId="0" borderId="16" xfId="0" applyFont="1" applyFill="1" applyBorder="1" applyAlignment="1">
      <alignment horizontal="left" wrapText="1"/>
    </xf>
    <xf numFmtId="0" fontId="39" fillId="0" borderId="16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0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0" fillId="23" borderId="0" xfId="0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5" t="s">
        <v>61</v>
      </c>
      <c r="B3" s="125"/>
      <c r="C3" s="125"/>
      <c r="D3" s="125"/>
      <c r="E3" s="125"/>
      <c r="F3" s="125"/>
      <c r="G3" s="12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26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27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28" t="s">
        <v>44</v>
      </c>
    </row>
    <row r="17" spans="1:7" x14ac:dyDescent="0.5">
      <c r="A17" s="1"/>
      <c r="B17" s="5"/>
      <c r="C17" s="10"/>
      <c r="D17" s="7"/>
      <c r="E17" s="7"/>
      <c r="F17" s="9"/>
      <c r="G17" s="129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5" t="s">
        <v>67</v>
      </c>
      <c r="B3" s="125"/>
      <c r="C3" s="125"/>
      <c r="D3" s="125"/>
      <c r="E3" s="125"/>
      <c r="F3" s="125"/>
      <c r="G3" s="12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26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27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30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30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30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5" t="s">
        <v>59</v>
      </c>
      <c r="B3" s="125"/>
      <c r="C3" s="125"/>
      <c r="D3" s="125"/>
      <c r="E3" s="125"/>
      <c r="F3" s="125"/>
      <c r="G3" s="12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26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27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30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30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30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abSelected="1" zoomScale="85" zoomScaleNormal="85" workbookViewId="0">
      <selection activeCell="J5" sqref="J5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375" customWidth="1"/>
    <col min="13" max="13" width="20.125" customWidth="1"/>
    <col min="14" max="14" width="28.125" customWidth="1"/>
    <col min="15" max="15" width="15.25" style="95" customWidth="1"/>
    <col min="16" max="16" width="31.125" style="95" customWidth="1"/>
    <col min="17" max="17" width="17.25" style="95" customWidth="1"/>
    <col min="18" max="18" width="59.5" style="95" customWidth="1"/>
  </cols>
  <sheetData>
    <row r="1" spans="1:21" ht="23.4" x14ac:dyDescent="0.6">
      <c r="B1" s="133" t="s">
        <v>14</v>
      </c>
      <c r="C1" s="133"/>
      <c r="D1" s="133"/>
      <c r="E1" s="133"/>
      <c r="F1" s="133"/>
      <c r="G1" s="133"/>
      <c r="H1" s="133"/>
      <c r="I1" s="133"/>
      <c r="J1" s="133"/>
      <c r="K1" s="133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25" t="s">
        <v>235</v>
      </c>
      <c r="C3" s="125"/>
      <c r="D3" s="125"/>
      <c r="E3" s="125"/>
      <c r="F3" s="125"/>
      <c r="G3" s="125"/>
      <c r="H3" s="125"/>
      <c r="I3" s="125"/>
      <c r="J3" s="125"/>
      <c r="K3" s="125"/>
      <c r="N3" s="4"/>
      <c r="O3" s="18"/>
      <c r="P3" s="18"/>
      <c r="Q3" s="18"/>
    </row>
    <row r="4" spans="1:21" ht="31.5" customHeight="1" x14ac:dyDescent="0.6">
      <c r="A4" s="138" t="s">
        <v>6</v>
      </c>
      <c r="B4" s="138"/>
      <c r="C4" s="138"/>
      <c r="D4" s="26"/>
      <c r="E4" s="26"/>
      <c r="F4" s="26"/>
      <c r="G4" s="26"/>
      <c r="H4" s="27"/>
      <c r="I4" s="59" t="s">
        <v>208</v>
      </c>
      <c r="J4" s="60">
        <v>2.8</v>
      </c>
      <c r="K4" s="65" t="s">
        <v>70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37" t="s">
        <v>232</v>
      </c>
      <c r="B5" s="137"/>
      <c r="C5" s="137"/>
      <c r="D5" s="104">
        <f>$J$4*$J$5</f>
        <v>28</v>
      </c>
      <c r="E5" s="29" t="s">
        <v>19</v>
      </c>
      <c r="F5" s="29"/>
      <c r="G5" s="29"/>
      <c r="H5" s="27"/>
      <c r="I5" s="59" t="s">
        <v>209</v>
      </c>
      <c r="J5" s="60">
        <v>10</v>
      </c>
      <c r="K5" s="65" t="s">
        <v>70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137" t="s">
        <v>233</v>
      </c>
      <c r="B6" s="137"/>
      <c r="C6" s="137"/>
      <c r="D6" s="45">
        <f>+D5</f>
        <v>28</v>
      </c>
      <c r="E6" s="29" t="s">
        <v>20</v>
      </c>
      <c r="F6" s="29"/>
      <c r="G6" s="29"/>
      <c r="H6" s="30"/>
      <c r="I6" s="63"/>
      <c r="J6" s="64"/>
      <c r="K6" s="65"/>
      <c r="N6" s="4"/>
      <c r="O6" s="18"/>
      <c r="P6" s="18"/>
      <c r="Q6" s="18"/>
      <c r="R6" s="18"/>
      <c r="S6" s="4"/>
      <c r="T6" s="61"/>
    </row>
    <row r="7" spans="1:21" ht="33" thickBot="1" x14ac:dyDescent="0.9">
      <c r="A7" s="136"/>
      <c r="B7" s="136"/>
      <c r="C7" s="136"/>
      <c r="D7" s="104"/>
      <c r="E7" s="124"/>
      <c r="F7" s="29"/>
      <c r="G7" s="29"/>
      <c r="H7" s="30"/>
      <c r="I7" s="66" t="s">
        <v>69</v>
      </c>
      <c r="J7" s="85">
        <v>0.05</v>
      </c>
      <c r="K7" s="33" t="s">
        <v>238</v>
      </c>
      <c r="N7" s="4"/>
      <c r="O7" s="18"/>
      <c r="P7" s="18"/>
      <c r="Q7" s="18"/>
      <c r="R7" s="18"/>
      <c r="S7" s="4"/>
      <c r="T7" s="61"/>
    </row>
    <row r="8" spans="1:21" ht="21" thickBot="1" x14ac:dyDescent="0.6">
      <c r="A8" s="82" t="s">
        <v>199</v>
      </c>
      <c r="B8" s="134" t="s">
        <v>0</v>
      </c>
      <c r="C8" s="135"/>
      <c r="D8" s="47" t="s">
        <v>1</v>
      </c>
      <c r="E8" s="47" t="s">
        <v>71</v>
      </c>
      <c r="F8" s="68" t="s">
        <v>73</v>
      </c>
      <c r="G8" s="46" t="s">
        <v>77</v>
      </c>
      <c r="H8" s="47" t="s">
        <v>26</v>
      </c>
      <c r="I8" s="46" t="s">
        <v>53</v>
      </c>
      <c r="J8" s="46" t="s">
        <v>2</v>
      </c>
      <c r="K8" s="46" t="s">
        <v>9</v>
      </c>
      <c r="N8" s="4"/>
      <c r="O8" s="18"/>
      <c r="P8" s="18"/>
      <c r="Q8" s="18"/>
    </row>
    <row r="9" spans="1:21" x14ac:dyDescent="0.5">
      <c r="A9" s="87" t="str">
        <f>IFERROR(VLOOKUP($C9,Data!$A2:$I3,9,),0)</f>
        <v>420020020100002</v>
      </c>
      <c r="B9" s="105" t="s">
        <v>230</v>
      </c>
      <c r="C9" s="88" t="s">
        <v>234</v>
      </c>
      <c r="D9" s="122" t="s">
        <v>226</v>
      </c>
      <c r="E9" s="89">
        <f>IFERROR(VLOOKUP($C9,Data!$A2:$H3,7,),0)</f>
        <v>10.216500000000002</v>
      </c>
      <c r="F9" s="90">
        <f t="shared" ref="F9:F12" si="0">$E9/$D$5</f>
        <v>0.36487500000000006</v>
      </c>
      <c r="G9" s="90">
        <f>IFERROR(VLOOKUP($C9,Data!$A2:$H3,5,),0)*E9</f>
        <v>255.41250000000005</v>
      </c>
      <c r="H9" s="91">
        <f>IFERROR(VLOOKUP($C9,Data!$A2:$H3,6,),0)</f>
        <v>250</v>
      </c>
      <c r="I9" s="92"/>
      <c r="J9" s="93">
        <f t="shared" ref="J9:J12" si="1">+(H9-(H9*I9))*E9</f>
        <v>2554.1250000000005</v>
      </c>
      <c r="K9" s="94"/>
      <c r="N9" s="4"/>
      <c r="O9" s="18"/>
      <c r="P9" s="18"/>
      <c r="Q9" s="18"/>
    </row>
    <row r="10" spans="1:21" ht="20.399999999999999" x14ac:dyDescent="0.55000000000000004">
      <c r="A10" s="83" t="str">
        <f>IFERROR(VLOOKUP($C10,Data!$A51:$I68,9,),0)</f>
        <v>100180020000001</v>
      </c>
      <c r="B10" s="106" t="s">
        <v>215</v>
      </c>
      <c r="C10" s="41" t="s">
        <v>114</v>
      </c>
      <c r="D10" s="78" t="s">
        <v>154</v>
      </c>
      <c r="E10" s="10">
        <f>IFERROR(VLOOKUP($C10,Data!$A49:$H68,7,),0)</f>
        <v>10.5</v>
      </c>
      <c r="F10" s="67">
        <f t="shared" si="0"/>
        <v>0.375</v>
      </c>
      <c r="G10" s="67">
        <f>IFERROR(VLOOKUP($C10,Data!$A49:$H68,5,),0)*E10</f>
        <v>317.52</v>
      </c>
      <c r="H10" s="7">
        <f>IFERROR(VLOOKUP($C10,Data!$A49:$H68,6,),0)</f>
        <v>765</v>
      </c>
      <c r="I10" s="51"/>
      <c r="J10" s="9">
        <f t="shared" si="1"/>
        <v>8032.5</v>
      </c>
      <c r="K10" s="35"/>
    </row>
    <row r="11" spans="1:21" ht="20.399999999999999" x14ac:dyDescent="0.55000000000000004">
      <c r="A11" s="87" t="str">
        <f>IFERROR(VLOOKUP($C11,Data!$A92:$I94,9,),0)</f>
        <v>410010010800001</v>
      </c>
      <c r="B11" s="107" t="s">
        <v>100</v>
      </c>
      <c r="C11" s="108" t="s">
        <v>135</v>
      </c>
      <c r="D11" s="122" t="s">
        <v>226</v>
      </c>
      <c r="E11" s="89">
        <f>IFERROR(VLOOKUP($C11,Data!$A92:$H94,7,),0)</f>
        <v>0.441</v>
      </c>
      <c r="F11" s="90">
        <f t="shared" si="0"/>
        <v>1.575E-2</v>
      </c>
      <c r="G11" s="90">
        <f>IFERROR(VLOOKUP($C11,Data!$A92:$H94,5,),0)*E11</f>
        <v>8.82</v>
      </c>
      <c r="H11" s="91">
        <f>IFERROR(VLOOKUP($C11,Data!$A92:$H94,6,),0)</f>
        <v>190</v>
      </c>
      <c r="I11" s="92"/>
      <c r="J11" s="93">
        <f t="shared" si="1"/>
        <v>83.79</v>
      </c>
      <c r="K11" s="109" t="s">
        <v>216</v>
      </c>
    </row>
    <row r="12" spans="1:21" ht="40.799999999999997" x14ac:dyDescent="0.55000000000000004">
      <c r="A12" s="83" t="str">
        <f>IFERROR(VLOOKUP($C12,Data!$A96:$I100,9,),0)</f>
        <v>520080140000004</v>
      </c>
      <c r="B12" s="69" t="s">
        <v>101</v>
      </c>
      <c r="C12" s="86" t="s">
        <v>205</v>
      </c>
      <c r="D12" s="21" t="s">
        <v>227</v>
      </c>
      <c r="E12" s="10">
        <f>IFERROR(VLOOKUP($C12,Data!$A96:$H98,7,),0)</f>
        <v>2.1</v>
      </c>
      <c r="F12" s="67">
        <f t="shared" si="0"/>
        <v>7.4999999999999997E-2</v>
      </c>
      <c r="G12" s="67">
        <f>IFERROR(VLOOKUP($C12,Data!$A96:$H98,5,),0)*E12</f>
        <v>1.26</v>
      </c>
      <c r="H12" s="7">
        <f>IFERROR(VLOOKUP($C12,Data!$A96:$H98,6,),0)</f>
        <v>31.5</v>
      </c>
      <c r="I12" s="51"/>
      <c r="J12" s="9">
        <f t="shared" si="1"/>
        <v>66.150000000000006</v>
      </c>
      <c r="K12" s="97" t="s">
        <v>210</v>
      </c>
    </row>
    <row r="13" spans="1:21" ht="20.399999999999999" customHeight="1" x14ac:dyDescent="0.5">
      <c r="A13" s="111"/>
      <c r="B13" s="112" t="s">
        <v>221</v>
      </c>
      <c r="C13" s="113" t="s">
        <v>129</v>
      </c>
      <c r="D13" s="114" t="s">
        <v>155</v>
      </c>
      <c r="E13" s="115">
        <f>IFERROR(VLOOKUP($C13,Data!$A99:$H100,7,),0)</f>
        <v>4.2</v>
      </c>
      <c r="F13" s="116">
        <f>$E13/$D$5</f>
        <v>0.15</v>
      </c>
      <c r="G13" s="116">
        <f>IFERROR(VLOOKUP($C13,Data!$A99:$H100,5,),0)*E13</f>
        <v>4.2</v>
      </c>
      <c r="H13" s="117">
        <f>IFERROR(VLOOKUP($C13,Data!$A99:$H99,6,),0)</f>
        <v>929</v>
      </c>
      <c r="I13" s="118"/>
      <c r="J13" s="119">
        <f>+(H13-(H13*I13))*E13</f>
        <v>3901.8</v>
      </c>
      <c r="K13" s="131" t="s">
        <v>224</v>
      </c>
    </row>
    <row r="14" spans="1:21" ht="20.399999999999999" customHeight="1" x14ac:dyDescent="0.5">
      <c r="A14" s="111"/>
      <c r="B14" s="120" t="s">
        <v>222</v>
      </c>
      <c r="C14" s="121" t="s">
        <v>218</v>
      </c>
      <c r="D14" s="114" t="s">
        <v>223</v>
      </c>
      <c r="E14" s="115">
        <f>IFERROR(VLOOKUP($C14,Data!$A110:$H114,7,),0)</f>
        <v>0.55650000000000011</v>
      </c>
      <c r="F14" s="116">
        <f>$E14/$D$5</f>
        <v>1.9875000000000004E-2</v>
      </c>
      <c r="G14" s="116">
        <f>IFERROR(VLOOKUP($C14,Data!$A110:$H114,5,),0)*E14</f>
        <v>12.799500000000002</v>
      </c>
      <c r="H14" s="117">
        <f>IFERROR(VLOOKUP($C14,Data!$A110:$H114,6,),0)</f>
        <v>1250</v>
      </c>
      <c r="I14" s="118"/>
      <c r="J14" s="119">
        <f>+(H14-(H14*I14))*E14</f>
        <v>695.62500000000011</v>
      </c>
      <c r="K14" s="132"/>
    </row>
    <row r="15" spans="1:21" ht="20.399999999999999" thickBot="1" x14ac:dyDescent="0.55000000000000004">
      <c r="A15" s="49"/>
      <c r="B15" s="70"/>
      <c r="C15" s="53"/>
      <c r="D15" s="13"/>
      <c r="E15" s="13"/>
      <c r="F15" s="13"/>
      <c r="G15" s="13"/>
      <c r="H15" s="13"/>
      <c r="I15" s="13" t="s">
        <v>45</v>
      </c>
      <c r="J15" s="13"/>
      <c r="K15" s="39"/>
    </row>
    <row r="16" spans="1:21" ht="21" thickBot="1" x14ac:dyDescent="0.6">
      <c r="A16" s="14" t="s">
        <v>8</v>
      </c>
      <c r="E16" s="15"/>
      <c r="F16" s="99" t="s">
        <v>75</v>
      </c>
      <c r="G16" s="100">
        <f>SUM(G9:G15)</f>
        <v>600.01200000000006</v>
      </c>
      <c r="H16" s="99" t="s">
        <v>78</v>
      </c>
      <c r="I16" s="101"/>
      <c r="J16" s="102">
        <f>SUM($J9:$J15)</f>
        <v>15333.990000000002</v>
      </c>
      <c r="K16" s="40"/>
      <c r="L16" s="4"/>
    </row>
    <row r="17" spans="1:12" ht="20.399999999999999" x14ac:dyDescent="0.55000000000000004">
      <c r="B17" s="14"/>
      <c r="E17" s="15"/>
      <c r="F17" s="99" t="s">
        <v>76</v>
      </c>
      <c r="G17" s="100">
        <f>$G$16/$D$5</f>
        <v>21.429000000000002</v>
      </c>
      <c r="H17" s="99" t="s">
        <v>74</v>
      </c>
      <c r="I17" s="101"/>
      <c r="J17" s="103">
        <f>$J$16/$D$5</f>
        <v>547.64250000000004</v>
      </c>
      <c r="K17" s="6"/>
      <c r="L17" s="4"/>
    </row>
    <row r="18" spans="1:12" x14ac:dyDescent="0.5">
      <c r="A18" s="24" t="s">
        <v>21</v>
      </c>
    </row>
    <row r="19" spans="1:12" ht="21" x14ac:dyDescent="0.6">
      <c r="A19" s="23" t="s">
        <v>22</v>
      </c>
      <c r="I19" s="84"/>
    </row>
    <row r="20" spans="1:12" ht="21" x14ac:dyDescent="0.6">
      <c r="A20" s="23" t="s">
        <v>72</v>
      </c>
    </row>
    <row r="21" spans="1:12" ht="21" x14ac:dyDescent="0.6">
      <c r="A21" s="23" t="s">
        <v>24</v>
      </c>
    </row>
  </sheetData>
  <mergeCells count="8">
    <mergeCell ref="K13:K14"/>
    <mergeCell ref="B3:K3"/>
    <mergeCell ref="B1:K1"/>
    <mergeCell ref="B8:C8"/>
    <mergeCell ref="A7:C7"/>
    <mergeCell ref="A6:C6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Data!$A$2:$A$3</xm:f>
          </x14:formula1>
          <xm:sqref>C9</xm:sqref>
        </x14:dataValidation>
        <x14:dataValidation type="list" allowBlank="1" showInputMessage="1" showErrorMessage="1">
          <x14:formula1>
            <xm:f>Data!$A$96:$A$98</xm:f>
          </x14:formula1>
          <xm:sqref>C12</xm:sqref>
        </x14:dataValidation>
        <x14:dataValidation type="list" allowBlank="1" showInputMessage="1" showErrorMessage="1">
          <x14:formula1>
            <xm:f>Data!$A$110:$A$114</xm:f>
          </x14:formula1>
          <xm:sqref>C14</xm:sqref>
        </x14:dataValidation>
        <x14:dataValidation type="list" allowBlank="1" showInputMessage="1" showErrorMessage="1">
          <x14:formula1>
            <xm:f>Data!$A$92:$A$94</xm:f>
          </x14:formula1>
          <xm:sqref>C11</xm:sqref>
        </x14:dataValidation>
        <x14:dataValidation type="list" allowBlank="1" showInputMessage="1" showErrorMessage="1">
          <x14:formula1>
            <xm:f>Data!$A$99:$A$100</xm:f>
          </x14:formula1>
          <xm:sqref>C13</xm:sqref>
        </x14:dataValidation>
        <x14:dataValidation type="list" allowBlank="1" showInputMessage="1" showErrorMessage="1">
          <x14:formula1>
            <xm:f>Data!$A$49:$A$68</xm:f>
          </x14:formula1>
          <xm:sqref>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5"/>
  <sheetViews>
    <sheetView topLeftCell="A63" zoomScale="130" zoomScaleNormal="130" workbookViewId="0">
      <selection activeCell="G50" sqref="G50"/>
    </sheetView>
  </sheetViews>
  <sheetFormatPr defaultRowHeight="19.8" x14ac:dyDescent="0.5"/>
  <cols>
    <col min="1" max="1" width="41.5" bestFit="1" customWidth="1"/>
    <col min="6" max="6" width="9.375" style="72"/>
    <col min="7" max="7" width="13.125" style="73" bestFit="1" customWidth="1"/>
    <col min="8" max="8" width="13.125" style="73" customWidth="1"/>
    <col min="9" max="9" width="16.5" style="80" bestFit="1" customWidth="1"/>
    <col min="10" max="10" width="13.125" customWidth="1"/>
  </cols>
  <sheetData>
    <row r="1" spans="1:9" ht="20.399999999999999" x14ac:dyDescent="0.55000000000000004">
      <c r="A1" s="123" t="s">
        <v>230</v>
      </c>
      <c r="E1" t="s">
        <v>82</v>
      </c>
      <c r="F1" s="71" t="s">
        <v>79</v>
      </c>
      <c r="G1" s="73" t="s">
        <v>83</v>
      </c>
      <c r="H1" s="73" t="s">
        <v>84</v>
      </c>
    </row>
    <row r="2" spans="1:9" x14ac:dyDescent="0.5">
      <c r="A2" t="s">
        <v>234</v>
      </c>
      <c r="E2">
        <v>25</v>
      </c>
      <c r="F2" s="72">
        <v>250</v>
      </c>
      <c r="G2" s="79">
        <f>(((ROUNDUP((((Gyplyner!$J$4*Gyplyner!$J$5)/2.88)),2)))*(1+Gyplyner!$J$7))</f>
        <v>10.216500000000002</v>
      </c>
      <c r="H2" s="73">
        <f>G2*E2</f>
        <v>255.41250000000005</v>
      </c>
      <c r="I2" s="81" t="s">
        <v>231</v>
      </c>
    </row>
    <row r="3" spans="1:9" x14ac:dyDescent="0.5">
      <c r="G3" s="79"/>
      <c r="I3" s="81"/>
    </row>
    <row r="4" spans="1:9" ht="20.399999999999999" x14ac:dyDescent="0.55000000000000004">
      <c r="A4" s="75" t="s">
        <v>103</v>
      </c>
      <c r="B4" t="s">
        <v>80</v>
      </c>
      <c r="C4" t="s">
        <v>81</v>
      </c>
      <c r="E4" t="s">
        <v>82</v>
      </c>
      <c r="G4" s="73" t="s">
        <v>83</v>
      </c>
    </row>
    <row r="5" spans="1:9" x14ac:dyDescent="0.5">
      <c r="A5" t="s">
        <v>104</v>
      </c>
      <c r="B5">
        <v>3000</v>
      </c>
      <c r="C5">
        <v>51</v>
      </c>
      <c r="E5">
        <v>1.32</v>
      </c>
      <c r="F5" s="72">
        <v>105</v>
      </c>
      <c r="I5" s="81" t="s">
        <v>156</v>
      </c>
    </row>
    <row r="6" spans="1:9" x14ac:dyDescent="0.5">
      <c r="A6" t="s">
        <v>105</v>
      </c>
      <c r="B6">
        <v>3000</v>
      </c>
      <c r="C6">
        <v>64</v>
      </c>
      <c r="E6">
        <v>1.47</v>
      </c>
      <c r="F6" s="72">
        <v>120</v>
      </c>
      <c r="I6" s="81" t="s">
        <v>157</v>
      </c>
    </row>
    <row r="7" spans="1:9" x14ac:dyDescent="0.5">
      <c r="A7" t="s">
        <v>106</v>
      </c>
      <c r="B7">
        <v>3000</v>
      </c>
      <c r="C7">
        <v>76</v>
      </c>
      <c r="E7">
        <v>1.6</v>
      </c>
      <c r="F7" s="72">
        <v>130</v>
      </c>
      <c r="I7" s="81" t="s">
        <v>158</v>
      </c>
    </row>
    <row r="8" spans="1:9" x14ac:dyDescent="0.5">
      <c r="A8" t="s">
        <v>107</v>
      </c>
      <c r="B8">
        <v>3000</v>
      </c>
      <c r="C8">
        <v>94</v>
      </c>
      <c r="E8">
        <v>1.82</v>
      </c>
      <c r="F8" s="72">
        <v>145</v>
      </c>
      <c r="I8" s="81" t="s">
        <v>159</v>
      </c>
    </row>
    <row r="10" spans="1:9" ht="20.399999999999999" x14ac:dyDescent="0.55000000000000004">
      <c r="A10" s="75" t="s">
        <v>96</v>
      </c>
      <c r="B10" t="s">
        <v>80</v>
      </c>
      <c r="C10" t="s">
        <v>81</v>
      </c>
      <c r="D10" s="76" t="s">
        <v>109</v>
      </c>
      <c r="E10" t="s">
        <v>82</v>
      </c>
      <c r="G10" s="73" t="s">
        <v>83</v>
      </c>
    </row>
    <row r="11" spans="1:9" x14ac:dyDescent="0.5">
      <c r="A11" s="76" t="s">
        <v>138</v>
      </c>
      <c r="B11">
        <v>4000</v>
      </c>
      <c r="C11" s="77" t="s">
        <v>140</v>
      </c>
      <c r="D11">
        <v>0.5</v>
      </c>
      <c r="E11">
        <v>1.4</v>
      </c>
      <c r="F11" s="72">
        <v>155</v>
      </c>
      <c r="G11" s="79" t="e">
        <f>(((ROUNDUP((((Gyplyner!$J$4-0.6)/Gyplyner!$J$6)),))+1)*Gyplyner!$J$5/($B11/1000))*(1+Gyplyner!$J$7)</f>
        <v>#DIV/0!</v>
      </c>
      <c r="I11" s="81" t="s">
        <v>160</v>
      </c>
    </row>
    <row r="12" spans="1:9" x14ac:dyDescent="0.5">
      <c r="A12" s="76" t="s">
        <v>86</v>
      </c>
      <c r="B12">
        <v>4000</v>
      </c>
      <c r="C12" s="77" t="s">
        <v>141</v>
      </c>
      <c r="D12">
        <v>0.5</v>
      </c>
      <c r="E12">
        <v>1.0900000000000001</v>
      </c>
      <c r="F12" s="72">
        <v>98</v>
      </c>
      <c r="G12" s="79" t="e">
        <f>(((ROUNDUP((((Gyplyner!$J$4-0.6)/Gyplyner!$J$6)),))+1)*Gyplyner!$J$5/($B12/1000))*(1+Gyplyner!$J$7)</f>
        <v>#DIV/0!</v>
      </c>
      <c r="I12" s="81" t="s">
        <v>161</v>
      </c>
    </row>
    <row r="13" spans="1:9" x14ac:dyDescent="0.5">
      <c r="A13" s="76" t="s">
        <v>139</v>
      </c>
      <c r="B13">
        <v>4000</v>
      </c>
      <c r="C13" s="77" t="s">
        <v>142</v>
      </c>
      <c r="D13">
        <v>0.4</v>
      </c>
      <c r="E13">
        <v>0.77</v>
      </c>
      <c r="F13" s="72">
        <v>67</v>
      </c>
      <c r="G13" s="79" t="e">
        <f>(((ROUNDUP((((Gyplyner!$J$4-0.6)/Gyplyner!$J$6)),))+1)*Gyplyner!$J$5/($B13/1000))*(1+Gyplyner!$J$7)</f>
        <v>#DIV/0!</v>
      </c>
      <c r="I13" s="81" t="s">
        <v>162</v>
      </c>
    </row>
    <row r="14" spans="1:9" x14ac:dyDescent="0.5">
      <c r="A14" s="76"/>
      <c r="C14" s="77"/>
      <c r="G14" s="79"/>
    </row>
    <row r="15" spans="1:9" ht="20.399999999999999" x14ac:dyDescent="0.55000000000000004">
      <c r="A15" s="75" t="s">
        <v>95</v>
      </c>
      <c r="B15" t="s">
        <v>80</v>
      </c>
      <c r="C15" t="s">
        <v>81</v>
      </c>
      <c r="D15" s="76" t="s">
        <v>109</v>
      </c>
      <c r="E15" t="s">
        <v>82</v>
      </c>
      <c r="G15" s="73" t="s">
        <v>83</v>
      </c>
    </row>
    <row r="16" spans="1:9" x14ac:dyDescent="0.5">
      <c r="A16" s="76" t="s">
        <v>138</v>
      </c>
      <c r="B16">
        <v>4000</v>
      </c>
      <c r="C16" s="77" t="s">
        <v>140</v>
      </c>
      <c r="D16">
        <v>0.5</v>
      </c>
      <c r="E16">
        <v>1.4</v>
      </c>
      <c r="F16" s="72">
        <v>155</v>
      </c>
      <c r="G16" s="79" t="e">
        <f>(((ROUNDUP((Gyplyner!$J$5/Gyplyner!$I$6),))+1)*Gyplyner!$J$4/($B16/1000))*(1+Gyplyner!$J$7)</f>
        <v>#DIV/0!</v>
      </c>
      <c r="I16" s="81" t="s">
        <v>160</v>
      </c>
    </row>
    <row r="17" spans="1:9" x14ac:dyDescent="0.5">
      <c r="A17" s="76" t="s">
        <v>86</v>
      </c>
      <c r="B17">
        <v>4000</v>
      </c>
      <c r="C17" s="77" t="s">
        <v>141</v>
      </c>
      <c r="D17">
        <v>0.5</v>
      </c>
      <c r="E17">
        <v>1.0900000000000001</v>
      </c>
      <c r="F17" s="72">
        <v>98</v>
      </c>
      <c r="G17" s="79" t="e">
        <f>(((ROUNDUP((Gyplyner!$J$5/Gyplyner!$I$6),))+1)*Gyplyner!$J$4/($B17/1000))*(1+Gyplyner!$J$7)</f>
        <v>#DIV/0!</v>
      </c>
      <c r="I17" s="81" t="s">
        <v>161</v>
      </c>
    </row>
    <row r="18" spans="1:9" x14ac:dyDescent="0.5">
      <c r="A18" s="76" t="s">
        <v>139</v>
      </c>
      <c r="B18">
        <v>4000</v>
      </c>
      <c r="C18" s="77" t="s">
        <v>142</v>
      </c>
      <c r="D18">
        <v>0.4</v>
      </c>
      <c r="E18">
        <v>0.77</v>
      </c>
      <c r="F18" s="72">
        <v>67</v>
      </c>
      <c r="G18" s="79" t="e">
        <f>(((ROUNDUP((Gyplyner!$J$5/Gyplyner!$I$6),))+1)*Gyplyner!$J$4/($B18/1000))*(1+Gyplyner!$J$7)</f>
        <v>#DIV/0!</v>
      </c>
      <c r="I18" s="81" t="s">
        <v>162</v>
      </c>
    </row>
    <row r="20" spans="1:9" ht="20.399999999999999" x14ac:dyDescent="0.55000000000000004">
      <c r="A20" s="75" t="s">
        <v>99</v>
      </c>
      <c r="B20" t="s">
        <v>80</v>
      </c>
      <c r="C20" t="s">
        <v>81</v>
      </c>
      <c r="D20" s="76" t="s">
        <v>109</v>
      </c>
      <c r="E20" t="s">
        <v>82</v>
      </c>
      <c r="G20" s="73" t="s">
        <v>83</v>
      </c>
    </row>
    <row r="21" spans="1:9" x14ac:dyDescent="0.5">
      <c r="A21" s="76" t="s">
        <v>145</v>
      </c>
      <c r="B21">
        <v>115</v>
      </c>
      <c r="C21">
        <v>45</v>
      </c>
      <c r="D21">
        <v>0.5</v>
      </c>
      <c r="E21">
        <v>0.18</v>
      </c>
      <c r="F21" s="72">
        <v>5.5</v>
      </c>
      <c r="G21" s="79" t="e">
        <f>ROUNDUP(Gyplyner!$D$5/(Gyplyner!$J$6*Gyplyner!$I$6),)*(1+Gyplyner!$J$7)</f>
        <v>#DIV/0!</v>
      </c>
      <c r="I21" s="81" t="s">
        <v>163</v>
      </c>
    </row>
    <row r="22" spans="1:9" x14ac:dyDescent="0.5">
      <c r="A22" s="76" t="s">
        <v>98</v>
      </c>
      <c r="B22">
        <v>90</v>
      </c>
      <c r="C22">
        <v>35</v>
      </c>
      <c r="D22">
        <v>0.5</v>
      </c>
      <c r="E22">
        <v>0.02</v>
      </c>
      <c r="F22" s="72">
        <v>3.75</v>
      </c>
      <c r="G22" s="79" t="e">
        <f>ROUNDUP(Gyplyner!$D$5/(Gyplyner!$J$6*Gyplyner!$I$6),)*(1+Gyplyner!$J$7)</f>
        <v>#DIV/0!</v>
      </c>
      <c r="I22" s="81" t="s">
        <v>164</v>
      </c>
    </row>
    <row r="23" spans="1:9" x14ac:dyDescent="0.5">
      <c r="A23" s="76" t="s">
        <v>146</v>
      </c>
      <c r="B23">
        <v>80</v>
      </c>
      <c r="C23">
        <v>35</v>
      </c>
      <c r="D23">
        <v>0.4</v>
      </c>
      <c r="E23">
        <v>0.01</v>
      </c>
      <c r="F23" s="72">
        <v>1.75</v>
      </c>
      <c r="G23" s="79" t="e">
        <f>ROUNDUP(Gyplyner!$D$5/(Gyplyner!$J$6*Gyplyner!$I$6),)*(1+Gyplyner!$J$7)</f>
        <v>#DIV/0!</v>
      </c>
      <c r="I23" s="81" t="s">
        <v>165</v>
      </c>
    </row>
    <row r="25" spans="1:9" ht="20.399999999999999" x14ac:dyDescent="0.55000000000000004">
      <c r="A25" s="75" t="s">
        <v>92</v>
      </c>
      <c r="B25" t="s">
        <v>80</v>
      </c>
      <c r="C25" t="s">
        <v>81</v>
      </c>
      <c r="D25" s="76" t="s">
        <v>109</v>
      </c>
      <c r="E25" t="s">
        <v>82</v>
      </c>
      <c r="G25" s="73" t="s">
        <v>83</v>
      </c>
    </row>
    <row r="26" spans="1:9" x14ac:dyDescent="0.5">
      <c r="A26" s="76" t="s">
        <v>147</v>
      </c>
      <c r="B26">
        <v>90</v>
      </c>
      <c r="C26" s="77" t="s">
        <v>148</v>
      </c>
      <c r="D26">
        <v>0.5</v>
      </c>
      <c r="E26">
        <v>0.03</v>
      </c>
      <c r="F26" s="72">
        <v>8</v>
      </c>
      <c r="G26" s="73" t="e">
        <f>(ROUNDUP((ROUNDUP(Gyplyner!$J$4/4,)*Gyplyner!$E$9),))+(ROUNDUP((ROUNDUP(Gyplyner!$J$5/4,)*Gyplyner!#REF!),))*(1+Gyplyner!$J$7)</f>
        <v>#REF!</v>
      </c>
      <c r="I26" s="81" t="s">
        <v>166</v>
      </c>
    </row>
    <row r="27" spans="1:9" x14ac:dyDescent="0.5">
      <c r="A27" s="76" t="s">
        <v>93</v>
      </c>
      <c r="B27">
        <v>90</v>
      </c>
      <c r="C27" s="77" t="s">
        <v>149</v>
      </c>
      <c r="D27">
        <v>0.5</v>
      </c>
      <c r="E27">
        <v>0.03</v>
      </c>
      <c r="F27" s="72">
        <v>5.5</v>
      </c>
      <c r="G27" s="73" t="e">
        <f>(ROUNDUP((ROUNDUP(Gyplyner!$J$4/4,)*Gyplyner!$E$9),))+(ROUNDUP((ROUNDUP(Gyplyner!$J$5/4,)*Gyplyner!#REF!),))*(1+Gyplyner!$J$7)</f>
        <v>#REF!</v>
      </c>
      <c r="I27" s="81" t="s">
        <v>167</v>
      </c>
    </row>
    <row r="29" spans="1:9" ht="20.399999999999999" x14ac:dyDescent="0.55000000000000004">
      <c r="A29" s="75" t="s">
        <v>150</v>
      </c>
      <c r="B29" t="s">
        <v>80</v>
      </c>
      <c r="C29" t="s">
        <v>81</v>
      </c>
      <c r="D29" s="76" t="s">
        <v>109</v>
      </c>
      <c r="E29" t="s">
        <v>82</v>
      </c>
      <c r="G29" s="73" t="s">
        <v>83</v>
      </c>
    </row>
    <row r="30" spans="1:9" x14ac:dyDescent="0.5">
      <c r="A30" s="76" t="s">
        <v>151</v>
      </c>
      <c r="B30">
        <v>205</v>
      </c>
      <c r="C30">
        <v>26</v>
      </c>
      <c r="D30">
        <v>4</v>
      </c>
      <c r="E30">
        <v>0.08</v>
      </c>
      <c r="F30" s="72">
        <v>4</v>
      </c>
      <c r="G30" s="79" t="e">
        <f>(ROUNDUP(Gyplyner!$D$5/(Gyplyner!$J$6*Gyplyner!$J$6),))*(1+Gyplyner!$J$7)</f>
        <v>#DIV/0!</v>
      </c>
      <c r="I30" s="81" t="s">
        <v>168</v>
      </c>
    </row>
    <row r="31" spans="1:9" x14ac:dyDescent="0.5">
      <c r="A31" s="76" t="s">
        <v>87</v>
      </c>
      <c r="B31">
        <v>200</v>
      </c>
      <c r="C31">
        <v>22</v>
      </c>
      <c r="D31">
        <v>4</v>
      </c>
      <c r="E31">
        <v>0.05</v>
      </c>
      <c r="F31" s="72">
        <v>4</v>
      </c>
      <c r="G31" s="79" t="e">
        <f>(ROUNDUP(Gyplyner!$D$5/(Gyplyner!$J$6*Gyplyner!$J$6),))*(1+Gyplyner!$J$7)</f>
        <v>#DIV/0!</v>
      </c>
      <c r="I31" s="81" t="s">
        <v>169</v>
      </c>
    </row>
    <row r="32" spans="1:9" x14ac:dyDescent="0.5">
      <c r="A32" s="76" t="s">
        <v>152</v>
      </c>
      <c r="B32">
        <v>200</v>
      </c>
      <c r="D32">
        <v>4</v>
      </c>
      <c r="E32">
        <v>0.05</v>
      </c>
      <c r="F32" s="72">
        <v>4</v>
      </c>
      <c r="G32" s="79" t="e">
        <f>(ROUNDUP(Gyplyner!$D$5/(Gyplyner!$J$6*Gyplyner!$J$6),))*(1+Gyplyner!$J$7)</f>
        <v>#DIV/0!</v>
      </c>
      <c r="I32" s="81" t="s">
        <v>170</v>
      </c>
    </row>
    <row r="33" spans="1:9" x14ac:dyDescent="0.5">
      <c r="A33" s="76" t="s">
        <v>200</v>
      </c>
      <c r="B33">
        <v>190</v>
      </c>
      <c r="C33">
        <v>29.5</v>
      </c>
      <c r="D33">
        <v>0.7</v>
      </c>
      <c r="E33">
        <v>0.03</v>
      </c>
      <c r="F33" s="72">
        <v>8.5</v>
      </c>
      <c r="G33" s="79" t="e">
        <f>(ROUNDUP(Gyplyner!$D$5/(Gyplyner!$J$6*Gyplyner!$J$6),))*(1+Gyplyner!$J$7)</f>
        <v>#DIV/0!</v>
      </c>
      <c r="I33" s="81" t="s">
        <v>201</v>
      </c>
    </row>
    <row r="35" spans="1:9" ht="20.399999999999999" x14ac:dyDescent="0.55000000000000004">
      <c r="A35" s="75" t="s">
        <v>88</v>
      </c>
      <c r="B35" t="s">
        <v>80</v>
      </c>
      <c r="C35" t="s">
        <v>81</v>
      </c>
      <c r="D35" s="76" t="s">
        <v>109</v>
      </c>
      <c r="E35" t="s">
        <v>82</v>
      </c>
      <c r="G35" s="73" t="s">
        <v>83</v>
      </c>
    </row>
    <row r="36" spans="1:9" x14ac:dyDescent="0.5">
      <c r="A36" s="76" t="s">
        <v>88</v>
      </c>
      <c r="B36">
        <v>25</v>
      </c>
      <c r="C36">
        <v>25</v>
      </c>
      <c r="E36">
        <v>1.7999999999999999E-2</v>
      </c>
      <c r="F36" s="72">
        <v>2.25</v>
      </c>
      <c r="G36" s="79" t="e">
        <f>(ROUNDUP(Gyplyner!$D$5/(Gyplyner!$J$6*Gyplyner!$J$6),))*(1+Gyplyner!$J$7)</f>
        <v>#DIV/0!</v>
      </c>
      <c r="I36" s="81" t="s">
        <v>171</v>
      </c>
    </row>
    <row r="38" spans="1:9" ht="20.399999999999999" x14ac:dyDescent="0.55000000000000004">
      <c r="A38" s="75" t="s">
        <v>89</v>
      </c>
      <c r="B38" t="s">
        <v>80</v>
      </c>
      <c r="C38" t="s">
        <v>81</v>
      </c>
      <c r="D38" s="76" t="s">
        <v>109</v>
      </c>
      <c r="E38" t="s">
        <v>82</v>
      </c>
      <c r="G38" s="73" t="s">
        <v>83</v>
      </c>
    </row>
    <row r="39" spans="1:9" x14ac:dyDescent="0.5">
      <c r="A39" s="76" t="s">
        <v>90</v>
      </c>
      <c r="B39">
        <v>90</v>
      </c>
      <c r="C39">
        <v>19</v>
      </c>
      <c r="E39">
        <v>8.9999999999999993E-3</v>
      </c>
      <c r="F39" s="72">
        <v>6</v>
      </c>
      <c r="G39" s="79" t="e">
        <f>(ROUNDUP(Gyplyner!$D$5/(Gyplyner!$J$6*Gyplyner!$J$6),))*(1+Gyplyner!$J$7)</f>
        <v>#DIV/0!</v>
      </c>
      <c r="I39" s="81" t="s">
        <v>172</v>
      </c>
    </row>
    <row r="41" spans="1:9" ht="20.399999999999999" x14ac:dyDescent="0.55000000000000004">
      <c r="A41" s="75" t="s">
        <v>91</v>
      </c>
      <c r="B41" t="s">
        <v>80</v>
      </c>
      <c r="C41" t="s">
        <v>81</v>
      </c>
      <c r="D41" s="76" t="s">
        <v>109</v>
      </c>
      <c r="E41" t="s">
        <v>82</v>
      </c>
      <c r="G41" s="73" t="s">
        <v>83</v>
      </c>
    </row>
    <row r="42" spans="1:9" x14ac:dyDescent="0.5">
      <c r="A42" s="76" t="s">
        <v>153</v>
      </c>
      <c r="B42">
        <v>3000</v>
      </c>
      <c r="D42">
        <v>4</v>
      </c>
      <c r="E42">
        <v>0.3</v>
      </c>
      <c r="F42" s="72">
        <v>20</v>
      </c>
      <c r="G42" s="73" t="e">
        <f>((ROUNDUP(Gyplyner!$D$5/(Gyplyner!$J$6*Gyplyner!$J$6),))*Gyplyner!$D$7/($B42/1000))*(1+Gyplyner!$J$7)</f>
        <v>#DIV/0!</v>
      </c>
      <c r="I42" s="81" t="s">
        <v>173</v>
      </c>
    </row>
    <row r="44" spans="1:9" ht="20.399999999999999" x14ac:dyDescent="0.55000000000000004">
      <c r="A44" s="75" t="s">
        <v>85</v>
      </c>
      <c r="B44" t="s">
        <v>80</v>
      </c>
      <c r="C44" t="s">
        <v>81</v>
      </c>
      <c r="E44" t="s">
        <v>82</v>
      </c>
    </row>
    <row r="45" spans="1:9" x14ac:dyDescent="0.5">
      <c r="A45" s="76" t="s">
        <v>202</v>
      </c>
      <c r="B45">
        <v>2400</v>
      </c>
      <c r="C45" s="77" t="s">
        <v>203</v>
      </c>
      <c r="D45">
        <v>0.5</v>
      </c>
      <c r="E45">
        <v>0.56999999999999995</v>
      </c>
      <c r="F45" s="72">
        <v>55</v>
      </c>
      <c r="G45" s="73">
        <f>(ROUNDUP(((Gyplyner!$J$4+Gyplyner!$J$5)*2)/($B45/1000),))*(1+Gyplyner!$J$7)</f>
        <v>11.55</v>
      </c>
      <c r="I45" s="81" t="s">
        <v>204</v>
      </c>
    </row>
    <row r="46" spans="1:9" x14ac:dyDescent="0.5">
      <c r="A46" s="76" t="s">
        <v>143</v>
      </c>
      <c r="B46">
        <v>2400</v>
      </c>
      <c r="C46" s="77" t="s">
        <v>144</v>
      </c>
      <c r="D46">
        <v>0.5</v>
      </c>
      <c r="E46">
        <v>0.43</v>
      </c>
      <c r="F46" s="72">
        <v>36</v>
      </c>
      <c r="G46" s="73">
        <f>(ROUNDUP(((Gyplyner!$J$4+Gyplyner!$J$5)*2)/($B46/1000),))*(1+Gyplyner!$J$7)</f>
        <v>11.55</v>
      </c>
      <c r="I46" s="81" t="s">
        <v>174</v>
      </c>
    </row>
    <row r="48" spans="1:9" ht="20.399999999999999" x14ac:dyDescent="0.55000000000000004">
      <c r="A48" s="75" t="s">
        <v>108</v>
      </c>
      <c r="B48" t="s">
        <v>80</v>
      </c>
      <c r="C48" t="s">
        <v>81</v>
      </c>
      <c r="D48" t="s">
        <v>109</v>
      </c>
      <c r="E48" t="s">
        <v>82</v>
      </c>
      <c r="G48" s="73" t="s">
        <v>83</v>
      </c>
    </row>
    <row r="49" spans="1:9" x14ac:dyDescent="0.5">
      <c r="A49" s="76" t="s">
        <v>236</v>
      </c>
      <c r="B49">
        <v>2400</v>
      </c>
      <c r="C49">
        <v>1200</v>
      </c>
      <c r="D49">
        <v>9.1999999999999993</v>
      </c>
      <c r="E49">
        <v>16.704000000000001</v>
      </c>
      <c r="F49" s="72">
        <v>294</v>
      </c>
      <c r="G49" s="73">
        <f>ROUNDUP((Gyplyner!$D$5/($B49/1000*$C49/1000)),)*(1+Gyplyner!$J$7)</f>
        <v>10.5</v>
      </c>
      <c r="I49" s="81" t="s">
        <v>237</v>
      </c>
    </row>
    <row r="50" spans="1:9" ht="20.399999999999999" x14ac:dyDescent="0.55000000000000004">
      <c r="A50" s="75"/>
    </row>
    <row r="51" spans="1:9" x14ac:dyDescent="0.5">
      <c r="A51" s="76" t="s">
        <v>110</v>
      </c>
      <c r="B51">
        <v>2400</v>
      </c>
      <c r="C51">
        <v>1200</v>
      </c>
      <c r="D51">
        <v>12</v>
      </c>
      <c r="E51">
        <v>23.04</v>
      </c>
      <c r="F51" s="72">
        <v>268</v>
      </c>
      <c r="G51" s="73">
        <f>ROUNDUP((Gyplyner!$D$5/($B51/1000*$C51/1000)),)*(1+Gyplyner!$J$7)</f>
        <v>10.5</v>
      </c>
      <c r="I51" s="81" t="s">
        <v>175</v>
      </c>
    </row>
    <row r="52" spans="1:9" x14ac:dyDescent="0.5">
      <c r="A52" s="76" t="s">
        <v>111</v>
      </c>
      <c r="B52">
        <v>2400</v>
      </c>
      <c r="C52">
        <v>1200</v>
      </c>
      <c r="D52">
        <v>15</v>
      </c>
      <c r="E52">
        <v>32</v>
      </c>
      <c r="F52" s="72">
        <v>379</v>
      </c>
      <c r="G52" s="73">
        <f>ROUNDUP((Gyplyner!$D$5/($B52/1000*$C52/1000)),)*(1+Gyplyner!$J$7)</f>
        <v>10.5</v>
      </c>
      <c r="I52" s="81" t="s">
        <v>176</v>
      </c>
    </row>
    <row r="54" spans="1:9" x14ac:dyDescent="0.5">
      <c r="A54" s="76" t="s">
        <v>112</v>
      </c>
      <c r="B54">
        <v>2400</v>
      </c>
      <c r="C54">
        <v>1200</v>
      </c>
      <c r="D54">
        <v>13</v>
      </c>
      <c r="E54">
        <v>33.119999999999997</v>
      </c>
      <c r="F54" s="72">
        <v>495</v>
      </c>
      <c r="G54" s="73">
        <f>ROUNDUP((Gyplyner!$D$5/($B54/1000*$C54/1000)),)*(1+Gyplyner!$J$7)</f>
        <v>10.5</v>
      </c>
      <c r="I54" s="81" t="s">
        <v>178</v>
      </c>
    </row>
    <row r="55" spans="1:9" x14ac:dyDescent="0.5">
      <c r="A55" s="76" t="s">
        <v>206</v>
      </c>
      <c r="B55">
        <v>2400</v>
      </c>
      <c r="C55">
        <v>1200</v>
      </c>
      <c r="D55">
        <v>16</v>
      </c>
      <c r="E55">
        <f>14.5*2.88</f>
        <v>41.76</v>
      </c>
      <c r="F55" s="72">
        <v>532</v>
      </c>
      <c r="G55" s="73">
        <f>ROUNDUP((Gyplyner!$D$5/($B55/1000*$C55/1000)),)*(1+Gyplyner!$J$7)</f>
        <v>10.5</v>
      </c>
      <c r="I55" s="81" t="s">
        <v>211</v>
      </c>
    </row>
    <row r="56" spans="1:9" x14ac:dyDescent="0.5">
      <c r="A56" s="76" t="s">
        <v>212</v>
      </c>
      <c r="B56">
        <v>2400</v>
      </c>
      <c r="C56">
        <v>1200</v>
      </c>
      <c r="D56">
        <v>16</v>
      </c>
      <c r="E56">
        <f>14.5*2.88</f>
        <v>41.76</v>
      </c>
      <c r="F56" s="72">
        <v>605</v>
      </c>
      <c r="G56" s="73">
        <f>ROUNDUP((Gyplyner!$D$5/($B56/1000*$C56/1000)),)*(1+Gyplyner!$J$7)</f>
        <v>10.5</v>
      </c>
      <c r="I56" s="96" t="s">
        <v>207</v>
      </c>
    </row>
    <row r="58" spans="1:9" x14ac:dyDescent="0.5">
      <c r="A58" s="76" t="s">
        <v>113</v>
      </c>
      <c r="B58">
        <v>2400</v>
      </c>
      <c r="C58">
        <v>1200</v>
      </c>
      <c r="D58">
        <v>12.5</v>
      </c>
      <c r="E58">
        <v>34.6</v>
      </c>
      <c r="F58" s="72">
        <v>804</v>
      </c>
      <c r="G58" s="73">
        <f>ROUNDUP((Gyplyner!$D$5/($B58/1000*$C58/1000)),)*(1+Gyplyner!$J$7)</f>
        <v>10.5</v>
      </c>
      <c r="I58" s="81" t="s">
        <v>177</v>
      </c>
    </row>
    <row r="60" spans="1:9" x14ac:dyDescent="0.5">
      <c r="A60" t="s">
        <v>183</v>
      </c>
      <c r="B60">
        <v>2440</v>
      </c>
      <c r="C60">
        <v>1220</v>
      </c>
      <c r="D60">
        <v>12</v>
      </c>
      <c r="E60">
        <v>24.53</v>
      </c>
      <c r="F60" s="74">
        <v>680</v>
      </c>
      <c r="G60" s="73">
        <f>ROUNDUP((Gyplyner!$D$5/($B60/1000*$C60/1000)),)*(1+Gyplyner!$J$7)</f>
        <v>10.5</v>
      </c>
      <c r="I60" s="80" t="s">
        <v>184</v>
      </c>
    </row>
    <row r="62" spans="1:9" x14ac:dyDescent="0.5">
      <c r="A62" t="s">
        <v>114</v>
      </c>
      <c r="B62">
        <v>2400</v>
      </c>
      <c r="C62">
        <v>1200</v>
      </c>
      <c r="D62">
        <v>12.5</v>
      </c>
      <c r="E62">
        <v>30.24</v>
      </c>
      <c r="F62" s="72">
        <v>765</v>
      </c>
      <c r="G62" s="73">
        <f>ROUNDUP((Gyplyner!$D$5/($B62/1000*$C62/1000)),)*(1+Gyplyner!$J$7)</f>
        <v>10.5</v>
      </c>
      <c r="I62" s="81" t="s">
        <v>179</v>
      </c>
    </row>
    <row r="64" spans="1:9" x14ac:dyDescent="0.5">
      <c r="A64" t="s">
        <v>115</v>
      </c>
      <c r="B64">
        <v>2400</v>
      </c>
      <c r="C64">
        <v>1200</v>
      </c>
      <c r="D64">
        <v>12</v>
      </c>
      <c r="E64">
        <v>25.52</v>
      </c>
      <c r="F64" s="72">
        <v>395</v>
      </c>
      <c r="G64" s="73">
        <f>ROUNDUP((Gyplyner!$D$5/($B64/1000*$C64/1000)),)*(1+Gyplyner!$J$7)</f>
        <v>10.5</v>
      </c>
      <c r="I64" s="80" t="s">
        <v>180</v>
      </c>
    </row>
    <row r="66" spans="1:9" x14ac:dyDescent="0.5">
      <c r="A66" t="s">
        <v>116</v>
      </c>
      <c r="B66">
        <v>2400</v>
      </c>
      <c r="C66">
        <v>1200</v>
      </c>
      <c r="D66">
        <v>13</v>
      </c>
      <c r="E66">
        <v>29.25</v>
      </c>
      <c r="F66" s="72">
        <v>446</v>
      </c>
      <c r="G66" s="73">
        <f>ROUNDUP((Gyplyner!$D$5/($B66/1000*$C66/1000)),)*(1+Gyplyner!$J$7)</f>
        <v>10.5</v>
      </c>
      <c r="I66" s="80" t="s">
        <v>181</v>
      </c>
    </row>
    <row r="67" spans="1:9" x14ac:dyDescent="0.5">
      <c r="A67" t="s">
        <v>117</v>
      </c>
      <c r="B67">
        <v>2400</v>
      </c>
      <c r="C67">
        <v>1200</v>
      </c>
      <c r="D67">
        <v>16</v>
      </c>
      <c r="E67">
        <v>36.92</v>
      </c>
      <c r="F67" s="72">
        <v>500</v>
      </c>
      <c r="G67" s="73">
        <f>ROUNDUP((Gyplyner!$D$5/($B67/1000*$C67/1000)),)*(1+Gyplyner!$J$7)</f>
        <v>10.5</v>
      </c>
      <c r="I67" s="80" t="s">
        <v>182</v>
      </c>
    </row>
    <row r="69" spans="1:9" ht="20.399999999999999" x14ac:dyDescent="0.55000000000000004">
      <c r="A69" s="75" t="s">
        <v>118</v>
      </c>
      <c r="B69" t="s">
        <v>80</v>
      </c>
      <c r="E69" t="s">
        <v>82</v>
      </c>
      <c r="G69" s="73" t="s">
        <v>83</v>
      </c>
    </row>
    <row r="70" spans="1:9" x14ac:dyDescent="0.5">
      <c r="A70" t="s">
        <v>97</v>
      </c>
      <c r="B70">
        <v>33</v>
      </c>
      <c r="E70">
        <v>0.01</v>
      </c>
      <c r="F70" s="72">
        <v>2</v>
      </c>
      <c r="G70" s="79" t="e">
        <f>(ROUNDUP(Gyplyner!$D$5/(Gyplyner!$J$6*Gyplyner!$J$6)+(1+(((Gyplyner!$J$5+Gyplyner!$J$4)*2)/0.3)),))*(1+Gyplyner!$J$7)</f>
        <v>#DIV/0!</v>
      </c>
      <c r="I70" s="80" t="s">
        <v>185</v>
      </c>
    </row>
    <row r="72" spans="1:9" ht="20.399999999999999" x14ac:dyDescent="0.55000000000000004">
      <c r="A72" s="123" t="s">
        <v>229</v>
      </c>
      <c r="B72" t="s">
        <v>80</v>
      </c>
      <c r="E72" t="s">
        <v>82</v>
      </c>
      <c r="G72" s="73" t="s">
        <v>83</v>
      </c>
    </row>
    <row r="73" spans="1:9" x14ac:dyDescent="0.5">
      <c r="A73" t="s">
        <v>94</v>
      </c>
      <c r="B73">
        <v>25</v>
      </c>
      <c r="E73">
        <v>1</v>
      </c>
      <c r="F73" s="72">
        <v>95</v>
      </c>
      <c r="G73" s="79">
        <f>(Gyplyner!$D$6/2.88)*40*(1.3/1000)*(1+Gyplyner!$J$7)</f>
        <v>0.53083333333333338</v>
      </c>
      <c r="I73" s="80" t="s">
        <v>186</v>
      </c>
    </row>
    <row r="74" spans="1:9" x14ac:dyDescent="0.5">
      <c r="A74" t="s">
        <v>119</v>
      </c>
      <c r="B74">
        <v>38</v>
      </c>
      <c r="E74">
        <v>1</v>
      </c>
      <c r="F74" s="72">
        <v>115</v>
      </c>
      <c r="G74" s="79">
        <f>(Gyplyner!$D$6/2.88)*40*(1.5/1000)*(1+Gyplyner!$J$7)</f>
        <v>0.61250000000000004</v>
      </c>
      <c r="I74" s="80" t="s">
        <v>187</v>
      </c>
    </row>
    <row r="75" spans="1:9" x14ac:dyDescent="0.5">
      <c r="A75" t="s">
        <v>120</v>
      </c>
      <c r="B75">
        <v>25</v>
      </c>
      <c r="F75" s="72">
        <v>550</v>
      </c>
      <c r="G75" s="79">
        <f>0.03*Gyplyner!$D$6*(1+Gyplyner!$J$7)</f>
        <v>0.88200000000000001</v>
      </c>
      <c r="I75" s="80" t="s">
        <v>188</v>
      </c>
    </row>
    <row r="76" spans="1:9" x14ac:dyDescent="0.5">
      <c r="A76" t="s">
        <v>121</v>
      </c>
      <c r="B76">
        <v>38</v>
      </c>
      <c r="F76" s="72">
        <v>600</v>
      </c>
      <c r="G76" s="79">
        <f>0.03*Gyplyner!$D$6*(1+Gyplyner!$J$7)</f>
        <v>0.88200000000000001</v>
      </c>
      <c r="I76" s="80" t="s">
        <v>189</v>
      </c>
    </row>
    <row r="77" spans="1:9" x14ac:dyDescent="0.5">
      <c r="A77" t="s">
        <v>123</v>
      </c>
      <c r="B77">
        <v>45</v>
      </c>
      <c r="F77" s="72">
        <v>680</v>
      </c>
      <c r="G77" s="79">
        <f>0.03*Gyplyner!$D$6*(1+Gyplyner!$J$7)</f>
        <v>0.88200000000000001</v>
      </c>
      <c r="I77" s="80" t="s">
        <v>190</v>
      </c>
    </row>
    <row r="78" spans="1:9" x14ac:dyDescent="0.5">
      <c r="A78" t="s">
        <v>122</v>
      </c>
      <c r="B78">
        <v>75</v>
      </c>
      <c r="E78">
        <v>1</v>
      </c>
      <c r="F78" s="72">
        <v>115</v>
      </c>
      <c r="G78" s="79">
        <f>(Gyplyner!$D$6/2.88)*40*(2.8/1000)*(1+Gyplyner!$J$7)</f>
        <v>1.1433333333333335</v>
      </c>
      <c r="I78" s="80" t="s">
        <v>191</v>
      </c>
    </row>
    <row r="80" spans="1:9" ht="20.399999999999999" x14ac:dyDescent="0.55000000000000004">
      <c r="A80" s="123" t="s">
        <v>228</v>
      </c>
      <c r="B80" t="s">
        <v>80</v>
      </c>
      <c r="E80" t="s">
        <v>82</v>
      </c>
      <c r="G80" s="73" t="s">
        <v>83</v>
      </c>
    </row>
    <row r="81" spans="1:9" x14ac:dyDescent="0.5">
      <c r="A81" t="s">
        <v>119</v>
      </c>
      <c r="B81">
        <v>38</v>
      </c>
      <c r="E81">
        <v>1</v>
      </c>
      <c r="F81" s="72">
        <v>115</v>
      </c>
      <c r="G81" s="79">
        <f>(Gyplyner!$D$6/2.88)*40*(1.5/1000)*(1+Gyplyner!$J$7)</f>
        <v>0.61250000000000004</v>
      </c>
      <c r="I81" s="80" t="s">
        <v>187</v>
      </c>
    </row>
    <row r="82" spans="1:9" x14ac:dyDescent="0.5">
      <c r="A82" t="s">
        <v>122</v>
      </c>
      <c r="B82">
        <v>75</v>
      </c>
      <c r="E82">
        <v>1</v>
      </c>
      <c r="F82" s="72">
        <v>115</v>
      </c>
      <c r="G82" s="79">
        <f>(Gyplyner!$D$6/2.88)*40*(2.8/1000)*(1+Gyplyner!$J$7)</f>
        <v>1.1433333333333335</v>
      </c>
      <c r="I82" s="80" t="s">
        <v>191</v>
      </c>
    </row>
    <row r="83" spans="1:9" x14ac:dyDescent="0.5">
      <c r="A83" t="s">
        <v>121</v>
      </c>
      <c r="B83">
        <v>38</v>
      </c>
      <c r="F83" s="72">
        <v>600</v>
      </c>
      <c r="G83" s="79">
        <f>0.03*Gyplyner!$D$6*(1+Gyplyner!$J$7)</f>
        <v>0.88200000000000001</v>
      </c>
      <c r="I83" s="80" t="s">
        <v>189</v>
      </c>
    </row>
    <row r="84" spans="1:9" x14ac:dyDescent="0.5">
      <c r="A84" t="s">
        <v>123</v>
      </c>
      <c r="B84">
        <v>45</v>
      </c>
      <c r="F84" s="72">
        <v>680</v>
      </c>
      <c r="G84" s="79">
        <f>0.03*Gyplyner!$D$6*(1+Gyplyner!$J$7)</f>
        <v>0.88200000000000001</v>
      </c>
      <c r="I84" s="80" t="s">
        <v>190</v>
      </c>
    </row>
    <row r="87" spans="1:9" ht="20.399999999999999" x14ac:dyDescent="0.55000000000000004">
      <c r="A87" s="75" t="s">
        <v>124</v>
      </c>
      <c r="B87" t="s">
        <v>80</v>
      </c>
      <c r="E87" t="s">
        <v>82</v>
      </c>
      <c r="G87" s="73" t="s">
        <v>83</v>
      </c>
    </row>
    <row r="88" spans="1:9" x14ac:dyDescent="0.5">
      <c r="A88" t="s">
        <v>125</v>
      </c>
      <c r="B88">
        <v>13</v>
      </c>
      <c r="E88">
        <v>1</v>
      </c>
      <c r="F88" s="72">
        <v>320</v>
      </c>
      <c r="G88" s="79" t="e">
        <f>((((Gyplyner!$J$5/Gyplyner!$I$6)*(Gyplyner!$J$4/4)*2)+(Gyplyner!#REF!*2))*0.94/1000*(1+Gyplyner!$J$7))</f>
        <v>#DIV/0!</v>
      </c>
      <c r="I88" s="80" t="s">
        <v>192</v>
      </c>
    </row>
    <row r="91" spans="1:9" ht="20.399999999999999" x14ac:dyDescent="0.55000000000000004">
      <c r="A91" s="75" t="s">
        <v>126</v>
      </c>
      <c r="B91" t="s">
        <v>84</v>
      </c>
      <c r="E91" t="s">
        <v>82</v>
      </c>
      <c r="G91" s="73" t="s">
        <v>83</v>
      </c>
    </row>
    <row r="92" spans="1:9" x14ac:dyDescent="0.5">
      <c r="A92" t="s">
        <v>127</v>
      </c>
      <c r="B92">
        <v>25</v>
      </c>
      <c r="E92">
        <v>25</v>
      </c>
      <c r="F92" s="72">
        <v>212</v>
      </c>
      <c r="G92" s="79">
        <f>0.015*Gyplyner!$D$6*(1+Gyplyner!$J$7)</f>
        <v>0.441</v>
      </c>
      <c r="I92" s="80" t="s">
        <v>193</v>
      </c>
    </row>
    <row r="93" spans="1:9" x14ac:dyDescent="0.5">
      <c r="A93" t="s">
        <v>135</v>
      </c>
      <c r="B93">
        <v>20</v>
      </c>
      <c r="E93">
        <v>20</v>
      </c>
      <c r="F93" s="72">
        <v>190</v>
      </c>
      <c r="G93" s="79">
        <f>0.015*Gyplyner!$D$6*(1+Gyplyner!$J$7)</f>
        <v>0.441</v>
      </c>
      <c r="I93" s="80" t="s">
        <v>194</v>
      </c>
    </row>
    <row r="95" spans="1:9" ht="20.399999999999999" x14ac:dyDescent="0.55000000000000004">
      <c r="A95" s="75" t="s">
        <v>101</v>
      </c>
      <c r="B95" t="s">
        <v>128</v>
      </c>
      <c r="E95" t="s">
        <v>82</v>
      </c>
    </row>
    <row r="96" spans="1:9" x14ac:dyDescent="0.5">
      <c r="A96" t="s">
        <v>102</v>
      </c>
      <c r="B96">
        <v>25</v>
      </c>
      <c r="E96">
        <v>0.25</v>
      </c>
      <c r="F96" s="72">
        <v>37</v>
      </c>
      <c r="G96" s="73">
        <f>ROUNDUP(((1.2+2.4)*2*Gyplyner!$E$10/2)/$B96,)*(1+Gyplyner!$J$7)</f>
        <v>2.1</v>
      </c>
      <c r="I96" s="80" t="s">
        <v>195</v>
      </c>
    </row>
    <row r="97" spans="1:9" x14ac:dyDescent="0.5">
      <c r="A97" t="s">
        <v>205</v>
      </c>
      <c r="B97">
        <v>20</v>
      </c>
      <c r="E97">
        <v>0.6</v>
      </c>
      <c r="F97" s="72">
        <v>31.5</v>
      </c>
      <c r="G97" s="73">
        <f>ROUNDUP(((1.2+2.4)*2*Gyplyner!$E$10/2)/$B97,)*(1+Gyplyner!$J$7)</f>
        <v>2.1</v>
      </c>
      <c r="I97" s="80" t="s">
        <v>196</v>
      </c>
    </row>
    <row r="99" spans="1:9" x14ac:dyDescent="0.5">
      <c r="A99" t="s">
        <v>129</v>
      </c>
      <c r="B99">
        <v>10</v>
      </c>
      <c r="E99">
        <v>1</v>
      </c>
      <c r="F99" s="72">
        <v>929</v>
      </c>
      <c r="G99" s="79">
        <f>ROUNDUP(((1.2+2.4)*2*Gyplyner!$E$10/2)/$B99,)*(1+Gyplyner!$J$7)</f>
        <v>4.2</v>
      </c>
    </row>
    <row r="101" spans="1:9" ht="20.399999999999999" x14ac:dyDescent="0.55000000000000004">
      <c r="A101" s="75" t="s">
        <v>130</v>
      </c>
      <c r="B101" t="s">
        <v>131</v>
      </c>
      <c r="E101" t="s">
        <v>82</v>
      </c>
      <c r="G101" s="73" t="s">
        <v>83</v>
      </c>
    </row>
    <row r="102" spans="1:9" x14ac:dyDescent="0.5">
      <c r="A102" s="76" t="s">
        <v>136</v>
      </c>
      <c r="B102">
        <v>600</v>
      </c>
      <c r="C102">
        <v>15000</v>
      </c>
      <c r="D102">
        <v>50</v>
      </c>
      <c r="E102">
        <f>24*1.2*30*0.05</f>
        <v>43.199999999999996</v>
      </c>
      <c r="F102" s="72">
        <v>3100</v>
      </c>
      <c r="G102" s="79">
        <f>Gyplyner!$D$6/($B102/1000*$C102/1000)*(1+Gyplyner!$J$7)</f>
        <v>3.2666666666666671</v>
      </c>
      <c r="I102" s="80" t="s">
        <v>197</v>
      </c>
    </row>
    <row r="103" spans="1:9" x14ac:dyDescent="0.5">
      <c r="A103" t="s">
        <v>137</v>
      </c>
      <c r="B103">
        <v>600</v>
      </c>
      <c r="C103">
        <v>10000</v>
      </c>
      <c r="D103">
        <v>50</v>
      </c>
      <c r="E103">
        <f>40*1.2*10*0.05</f>
        <v>24</v>
      </c>
      <c r="F103" s="72">
        <v>3800</v>
      </c>
      <c r="G103" s="79">
        <f>Gyplyner!$D$6/($B103/1000*$C103/1000)*(1+Gyplyner!$J$7)</f>
        <v>4.9000000000000004</v>
      </c>
      <c r="I103" s="80" t="s">
        <v>198</v>
      </c>
    </row>
    <row r="106" spans="1:9" ht="20.399999999999999" x14ac:dyDescent="0.55000000000000004">
      <c r="A106" s="75" t="s">
        <v>132</v>
      </c>
      <c r="B106" t="s">
        <v>133</v>
      </c>
      <c r="E106" t="s">
        <v>82</v>
      </c>
      <c r="G106" s="73" t="s">
        <v>83</v>
      </c>
    </row>
    <row r="107" spans="1:9" x14ac:dyDescent="0.5">
      <c r="A107" t="s">
        <v>134</v>
      </c>
      <c r="B107">
        <v>600</v>
      </c>
      <c r="E107">
        <v>0.98</v>
      </c>
      <c r="F107" s="98" t="s">
        <v>213</v>
      </c>
      <c r="G107" s="79">
        <f>((Gyplyner!$J$5*2*6*6)/B107)*(1+Gyplyner!$J$7)</f>
        <v>1.26</v>
      </c>
    </row>
    <row r="108" spans="1:9" x14ac:dyDescent="0.5">
      <c r="A108" s="76" t="s">
        <v>214</v>
      </c>
      <c r="B108">
        <v>580</v>
      </c>
      <c r="E108">
        <v>0.92</v>
      </c>
      <c r="F108" s="98" t="s">
        <v>213</v>
      </c>
      <c r="G108" s="79">
        <f>((Gyplyner!$J$5*2*6*6)/B108)*(1+Gyplyner!$J$7)</f>
        <v>1.3034482758620691</v>
      </c>
    </row>
    <row r="109" spans="1:9" x14ac:dyDescent="0.5">
      <c r="A109" s="76"/>
      <c r="F109" s="98"/>
      <c r="G109" s="79"/>
    </row>
    <row r="110" spans="1:9" x14ac:dyDescent="0.5">
      <c r="A110" t="s">
        <v>217</v>
      </c>
      <c r="E110">
        <v>23</v>
      </c>
      <c r="F110" s="110">
        <v>1250</v>
      </c>
      <c r="G110" s="79">
        <f>ROUNDUP((Gyplyner!$J$5*1.8)/(E110/4),2)*(1+Gyplyner!$J$7)</f>
        <v>3.2969999999999997</v>
      </c>
    </row>
    <row r="111" spans="1:9" x14ac:dyDescent="0.5">
      <c r="A111" t="s">
        <v>218</v>
      </c>
      <c r="E111">
        <v>23</v>
      </c>
      <c r="F111" s="110">
        <v>1250</v>
      </c>
      <c r="G111" s="79">
        <f>ROUNDUP((Gyplyner!$J$5*0.3)/(E111/4),2)*(1+Gyplyner!$J$7)</f>
        <v>0.55650000000000011</v>
      </c>
    </row>
    <row r="112" spans="1:9" x14ac:dyDescent="0.5">
      <c r="A112" t="s">
        <v>219</v>
      </c>
      <c r="E112">
        <v>25</v>
      </c>
      <c r="F112" s="110">
        <v>650</v>
      </c>
      <c r="G112" s="79">
        <f>ROUNDUP((Gyplyner!$J$5*1.8)/(E112/4),2)*(1+Gyplyner!$J$7)</f>
        <v>3.024</v>
      </c>
    </row>
    <row r="113" spans="1:7" x14ac:dyDescent="0.5">
      <c r="A113" t="s">
        <v>220</v>
      </c>
      <c r="E113">
        <v>25</v>
      </c>
      <c r="F113" s="110">
        <v>650</v>
      </c>
      <c r="G113" s="79">
        <f>ROUNDUP((Gyplyner!$J$5*0.3)/(E113/4),2)*(1+Gyplyner!$J$7)</f>
        <v>0.504</v>
      </c>
    </row>
    <row r="115" spans="1:7" x14ac:dyDescent="0.5">
      <c r="A115" s="76" t="s">
        <v>225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5" t="s">
        <v>60</v>
      </c>
      <c r="B3" s="125"/>
      <c r="C3" s="125"/>
      <c r="D3" s="125"/>
      <c r="E3" s="125"/>
      <c r="F3" s="125"/>
      <c r="G3" s="125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26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27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30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30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30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2020-04-13T02:58:08Z</dcterms:modified>
</cp:coreProperties>
</file>