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4570727\Desktop\Gyproc Ying\2020 - work\Take off for Update on website\"/>
    </mc:Choice>
  </mc:AlternateContent>
  <bookViews>
    <workbookView xWindow="0" yWindow="0" windowWidth="23040" windowHeight="8616" tabRatio="845" firstSheet="3" activeTab="3"/>
  </bookViews>
  <sheets>
    <sheet name="SuperWall@40" sheetId="48" state="hidden" r:id="rId1"/>
    <sheet name="ML50A-60x40x60cm" sheetId="64" state="hidden" r:id="rId2"/>
    <sheet name="ML 60x60" sheetId="44" state="hidden" r:id="rId3"/>
    <sheet name="Gyplyner" sheetId="80" r:id="rId4"/>
    <sheet name="Data" sheetId="98" r:id="rId5"/>
    <sheet name="SL40 80x40" sheetId="47" state="hidden" r:id="rId6"/>
  </sheets>
  <definedNames>
    <definedName name="n?3_20_6\rr?0" hidden="1">#REF!</definedName>
    <definedName name="n?3_5_2\rr?0" hidden="1">#REF!</definedName>
    <definedName name="n?3_8_5\rr?0" hidden="1">#REF!</definedName>
  </definedNames>
  <calcPr calcId="162913"/>
</workbook>
</file>

<file path=xl/calcChain.xml><?xml version="1.0" encoding="utf-8"?>
<calcChain xmlns="http://schemas.openxmlformats.org/spreadsheetml/2006/main">
  <c r="G2" i="98" l="1"/>
  <c r="H9" i="80" l="1"/>
  <c r="A9" i="80"/>
  <c r="H2" i="98"/>
  <c r="E9" i="80" l="1"/>
  <c r="G9" i="80" s="1"/>
  <c r="H13" i="80" l="1"/>
  <c r="H12" i="80"/>
  <c r="H14" i="80" l="1"/>
  <c r="G110" i="98"/>
  <c r="G111" i="98"/>
  <c r="G109" i="98"/>
  <c r="E14" i="80" s="1"/>
  <c r="G14" i="80" s="1"/>
  <c r="G108" i="98"/>
  <c r="J14" i="80" l="1"/>
  <c r="G106" i="98"/>
  <c r="G105" i="98"/>
  <c r="E54" i="98"/>
  <c r="E53" i="98"/>
  <c r="G45" i="98" l="1"/>
  <c r="A12" i="80" l="1"/>
  <c r="A11" i="80"/>
  <c r="A10" i="80"/>
  <c r="H11" i="80" l="1"/>
  <c r="H10" i="80"/>
  <c r="G46" i="98"/>
  <c r="G17" i="98"/>
  <c r="G18" i="98"/>
  <c r="G16" i="98"/>
  <c r="G12" i="98"/>
  <c r="G13" i="98"/>
  <c r="G11" i="98"/>
  <c r="E101" i="98"/>
  <c r="E100" i="98"/>
  <c r="D5" i="80"/>
  <c r="C16" i="64"/>
  <c r="C19" i="64"/>
  <c r="C18" i="64"/>
  <c r="C15" i="64"/>
  <c r="C14" i="64"/>
  <c r="C13" i="64"/>
  <c r="C12" i="64"/>
  <c r="C9" i="64"/>
  <c r="C8" i="64"/>
  <c r="D22" i="64"/>
  <c r="D21" i="64"/>
  <c r="D20" i="64"/>
  <c r="D19" i="64"/>
  <c r="D18" i="64"/>
  <c r="F18" i="64"/>
  <c r="D17" i="64"/>
  <c r="D16" i="64"/>
  <c r="D15" i="64"/>
  <c r="F15" i="64"/>
  <c r="D14" i="64"/>
  <c r="F14" i="64"/>
  <c r="D13" i="64"/>
  <c r="F13" i="64"/>
  <c r="D12" i="64"/>
  <c r="D11" i="64"/>
  <c r="F11" i="64"/>
  <c r="C11" i="64"/>
  <c r="D10" i="64"/>
  <c r="C10" i="64"/>
  <c r="F10" i="64"/>
  <c r="D9" i="64"/>
  <c r="D8" i="64"/>
  <c r="B6" i="64"/>
  <c r="C20" i="64"/>
  <c r="C13" i="48"/>
  <c r="F13" i="48"/>
  <c r="C12" i="48"/>
  <c r="F12" i="48"/>
  <c r="D10" i="48"/>
  <c r="F10" i="48"/>
  <c r="C9" i="48"/>
  <c r="D8" i="48"/>
  <c r="F8" i="48"/>
  <c r="D9" i="48"/>
  <c r="F9" i="48"/>
  <c r="C15" i="48"/>
  <c r="C14" i="48"/>
  <c r="C11" i="48"/>
  <c r="C10" i="48"/>
  <c r="C8" i="48"/>
  <c r="B6" i="48"/>
  <c r="D15" i="48"/>
  <c r="D14" i="48"/>
  <c r="D12" i="48"/>
  <c r="D11" i="48"/>
  <c r="F11" i="48"/>
  <c r="D21" i="47"/>
  <c r="F21" i="47"/>
  <c r="D20" i="47"/>
  <c r="C20" i="47"/>
  <c r="F20" i="47"/>
  <c r="D19" i="47"/>
  <c r="D18" i="47"/>
  <c r="C18" i="47"/>
  <c r="F18" i="47"/>
  <c r="D17" i="47"/>
  <c r="C17" i="47"/>
  <c r="D16" i="47"/>
  <c r="C16" i="47"/>
  <c r="D15" i="47"/>
  <c r="C15" i="47"/>
  <c r="D14" i="47"/>
  <c r="C14" i="47"/>
  <c r="F14" i="47"/>
  <c r="D13" i="47"/>
  <c r="C13" i="47"/>
  <c r="D12" i="47"/>
  <c r="C12" i="47"/>
  <c r="D11" i="47"/>
  <c r="F11" i="47"/>
  <c r="C11" i="47"/>
  <c r="D10" i="47"/>
  <c r="C10" i="47"/>
  <c r="F10" i="47"/>
  <c r="D9" i="47"/>
  <c r="C9" i="47"/>
  <c r="D8" i="47"/>
  <c r="C8" i="47"/>
  <c r="B6" i="47"/>
  <c r="C21" i="47"/>
  <c r="C19" i="47"/>
  <c r="F19" i="47"/>
  <c r="C22" i="44"/>
  <c r="F22" i="44"/>
  <c r="C21" i="44"/>
  <c r="F21" i="44"/>
  <c r="C19" i="44"/>
  <c r="F19" i="44"/>
  <c r="C18" i="44"/>
  <c r="C17" i="44"/>
  <c r="F17" i="44"/>
  <c r="C16" i="44"/>
  <c r="F16" i="44"/>
  <c r="C15" i="44"/>
  <c r="C14" i="44"/>
  <c r="F14" i="44"/>
  <c r="C13" i="44"/>
  <c r="F13" i="44"/>
  <c r="C12" i="44"/>
  <c r="C11" i="44"/>
  <c r="C10" i="44"/>
  <c r="C9" i="44"/>
  <c r="F9" i="44"/>
  <c r="C8" i="44"/>
  <c r="F8" i="44"/>
  <c r="D11" i="44"/>
  <c r="F11" i="44"/>
  <c r="B6" i="44"/>
  <c r="C24" i="44"/>
  <c r="F10" i="44"/>
  <c r="F12" i="44"/>
  <c r="F18" i="44"/>
  <c r="C20" i="44"/>
  <c r="F20" i="44"/>
  <c r="F15" i="48"/>
  <c r="F14" i="48"/>
  <c r="F16" i="64"/>
  <c r="F19" i="64"/>
  <c r="F12" i="64"/>
  <c r="F8" i="64"/>
  <c r="F15" i="47"/>
  <c r="F21" i="48"/>
  <c r="F8" i="47"/>
  <c r="F13" i="47"/>
  <c r="C17" i="64"/>
  <c r="F17" i="64"/>
  <c r="C22" i="64"/>
  <c r="F22" i="64"/>
  <c r="C21" i="64"/>
  <c r="F21" i="64"/>
  <c r="F16" i="47"/>
  <c r="F20" i="64"/>
  <c r="F25" i="44"/>
  <c r="F9" i="47"/>
  <c r="F12" i="47"/>
  <c r="F17" i="47"/>
  <c r="F9" i="64"/>
  <c r="F25" i="64"/>
  <c r="F24" i="47"/>
  <c r="F14" i="80" l="1"/>
  <c r="G54" i="98"/>
  <c r="G52" i="98"/>
  <c r="G53" i="98"/>
  <c r="G64" i="98"/>
  <c r="G30" i="98"/>
  <c r="G39" i="98"/>
  <c r="G33" i="98"/>
  <c r="G32" i="98"/>
  <c r="G56" i="98"/>
  <c r="G50" i="98"/>
  <c r="G60" i="98"/>
  <c r="G23" i="98"/>
  <c r="G31" i="98"/>
  <c r="G22" i="98"/>
  <c r="G36" i="98"/>
  <c r="G49" i="98"/>
  <c r="G21" i="98"/>
  <c r="G58" i="98"/>
  <c r="G68" i="98"/>
  <c r="G62" i="98"/>
  <c r="D6" i="80"/>
  <c r="G81" i="98" s="1"/>
  <c r="G42" i="98"/>
  <c r="G65" i="98"/>
  <c r="G27" i="98" l="1"/>
  <c r="J9" i="80"/>
  <c r="F9" i="80"/>
  <c r="G26" i="98"/>
  <c r="E10" i="80"/>
  <c r="G97" i="98" s="1"/>
  <c r="E13" i="80" s="1"/>
  <c r="G13" i="80" s="1"/>
  <c r="G76" i="98"/>
  <c r="G72" i="98"/>
  <c r="G71" i="98"/>
  <c r="G80" i="98"/>
  <c r="G79" i="98"/>
  <c r="G75" i="98"/>
  <c r="G90" i="98"/>
  <c r="G101" i="98"/>
  <c r="G73" i="98"/>
  <c r="G100" i="98"/>
  <c r="G91" i="98"/>
  <c r="G74" i="98"/>
  <c r="G82" i="98"/>
  <c r="J13" i="80" l="1"/>
  <c r="F13" i="80"/>
  <c r="G94" i="98"/>
  <c r="G10" i="80"/>
  <c r="G86" i="98"/>
  <c r="E11" i="80"/>
  <c r="F10" i="80"/>
  <c r="J10" i="80"/>
  <c r="G95" i="98"/>
  <c r="E12" i="80" s="1"/>
  <c r="G12" i="80" s="1"/>
  <c r="J11" i="80" l="1"/>
  <c r="G11" i="80"/>
  <c r="F11" i="80"/>
  <c r="F12" i="80"/>
  <c r="J12" i="80"/>
  <c r="J16" i="80" l="1"/>
  <c r="J17" i="80" s="1"/>
  <c r="G16" i="80"/>
  <c r="G17" i="80" s="1"/>
</calcChain>
</file>

<file path=xl/comments1.xml><?xml version="1.0" encoding="utf-8"?>
<comments xmlns="http://schemas.openxmlformats.org/spreadsheetml/2006/main">
  <authors>
    <author>CHAROENRAT, Dhittita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CHAROENRAT, Dhittita:</t>
        </r>
        <r>
          <rPr>
            <sz val="9"/>
            <color indexed="81"/>
            <rFont val="Tahoma"/>
            <family val="2"/>
          </rPr>
          <t xml:space="preserve">
เทคนิคแนะนำที่ 5%</t>
        </r>
      </text>
    </comment>
  </commentList>
</comments>
</file>

<file path=xl/comments2.xml><?xml version="1.0" encoding="utf-8"?>
<comments xmlns="http://schemas.openxmlformats.org/spreadsheetml/2006/main">
  <authors>
    <author>Thongsiri, Teerasak</author>
  </authors>
  <commentList>
    <comment ref="A100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1200x30,000/pc</t>
        </r>
      </text>
    </comment>
    <comment ref="A101" authorId="0" shapeId="0">
      <text>
        <r>
          <rPr>
            <b/>
            <sz val="9"/>
            <color indexed="81"/>
            <rFont val="Tahoma"/>
            <family val="2"/>
          </rPr>
          <t xml:space="preserve">Thongsiri, Teerasak:
</t>
        </r>
        <r>
          <rPr>
            <sz val="9"/>
            <color indexed="81"/>
            <rFont val="Tahoma"/>
            <family val="2"/>
          </rPr>
          <t>1200x10,000/pc</t>
        </r>
      </text>
    </comment>
    <comment ref="A108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09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  <comment ref="A110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up to 1.8 m.</t>
        </r>
      </text>
    </comment>
    <comment ref="A111" authorId="0" shapeId="0">
      <text>
        <r>
          <rPr>
            <b/>
            <sz val="9"/>
            <color indexed="81"/>
            <rFont val="Tahoma"/>
            <family val="2"/>
          </rPr>
          <t>Thongsiri, Teerasak:</t>
        </r>
        <r>
          <rPr>
            <sz val="9"/>
            <color indexed="81"/>
            <rFont val="Tahoma"/>
            <family val="2"/>
          </rPr>
          <t xml:space="preserve">
Apply on kerb and above 200mm.</t>
        </r>
      </text>
    </comment>
  </commentList>
</comments>
</file>

<file path=xl/sharedStrings.xml><?xml version="1.0" encoding="utf-8"?>
<sst xmlns="http://schemas.openxmlformats.org/spreadsheetml/2006/main" count="476" uniqueCount="237">
  <si>
    <t>รายการ</t>
  </si>
  <si>
    <t xml:space="preserve">ขนาด </t>
  </si>
  <si>
    <t xml:space="preserve">รวมราคา </t>
  </si>
  <si>
    <t>ชิ้น</t>
  </si>
  <si>
    <t>กก.</t>
  </si>
  <si>
    <t>TOTAL</t>
  </si>
  <si>
    <t>รายการที่ถอดวัสดุ</t>
  </si>
  <si>
    <t>1.20 x 2.40</t>
  </si>
  <si>
    <r>
      <t>หมายเหตุ</t>
    </r>
    <r>
      <rPr>
        <sz val="14"/>
        <rFont val="AngsanaUPC"/>
        <family val="1"/>
      </rPr>
      <t xml:space="preserve"> ราคา ตาม Price List</t>
    </r>
  </si>
  <si>
    <t>Remark</t>
  </si>
  <si>
    <t>โดยให้ปัดเศษขึ้นทั้งหมด</t>
  </si>
  <si>
    <t>25 kg.</t>
  </si>
  <si>
    <t>25 m.</t>
  </si>
  <si>
    <t>ผ้าเทป( ม้วน )</t>
  </si>
  <si>
    <t>ใบประมาณการใช้วัสดุ</t>
  </si>
  <si>
    <t>ปูนฉาบ Joint Filler/Finish ( ถุง)</t>
  </si>
  <si>
    <t xml:space="preserve">พุกเหล็ก 6 มม. </t>
  </si>
  <si>
    <t>สกรูยิปซัม 25 มม.</t>
  </si>
  <si>
    <t>แผ่นยิปซัม คิดจากการติดแผ่น 2 ด้านแล้ว</t>
  </si>
  <si>
    <t xml:space="preserve">ตร.ม.      </t>
  </si>
  <si>
    <t xml:space="preserve"> ตร.ม.      </t>
  </si>
  <si>
    <t>ค่าประมาณการต่าง ๆ ที่แสดงไว้ ใช้สำหรับผลิตภัณฑ์ ของ บ.ไทยผลิตภัณฑ์ยิบซั่ม จำกัด  (มหาชน) เท่านั้น</t>
  </si>
  <si>
    <t>** ค่าประมาณตัวเลขการใช้งานทั้งหมด เป็นค่าโดยประมาณเท่านั้น หากต้องการละเอียดให้ถอดจากแบบก่อสร้างจริง</t>
  </si>
  <si>
    <t>*** ค่าประมาณตัวเลขการใช้งานทั้งหมด  เผื่อปริมาณการสูญเสียไว้ 5% โดยประมาณ</t>
  </si>
  <si>
    <t>*** บริษัท ฯ ขอสงวนสิทธิ์ ในการเปลี่ยนแปลงรายละเอียดต่าง ๆ ได้ โดยไม่ต้องแจ้งให้ทราบล่วงหน้า</t>
  </si>
  <si>
    <t>2.40 ม.</t>
  </si>
  <si>
    <t>ราคาตั้ง/หน่วย</t>
  </si>
  <si>
    <t>พื้นที่ติดตั้งโครงคร่าว</t>
  </si>
  <si>
    <t>ปริมาณที่ปรากฏได้เผื่อการสูญเสีย 5%</t>
  </si>
  <si>
    <t>จำนวน ที่ใช้</t>
  </si>
  <si>
    <t>4.00 ม.</t>
  </si>
  <si>
    <t>สกรู ยิปซัม 25 มม.</t>
  </si>
  <si>
    <t>พุกเหล็ก 6 มม.</t>
  </si>
  <si>
    <t>6 มม.</t>
  </si>
  <si>
    <t>พื้นที่ติดตั้งแผ่นยิปซัม (คิดติดเท่าโครงคร่าว)</t>
  </si>
  <si>
    <t>ตัวล้อคโครง SL9</t>
  </si>
  <si>
    <t>3.00 ม.</t>
  </si>
  <si>
    <t>ชุดหิ้วโครง ML1A</t>
  </si>
  <si>
    <t>ฉากเหล็ก 2 รู</t>
  </si>
  <si>
    <t>ตัวล้อคโครง ML9A</t>
  </si>
  <si>
    <t>ตัวต่อโครง ML3A</t>
  </si>
  <si>
    <t>สปริงปรับระดับ 4 มม.</t>
  </si>
  <si>
    <t>ลวดแขวน 4 มม. (ท่อน)</t>
  </si>
  <si>
    <t xml:space="preserve">ฉากริมฉาบเรียบ GA1  (เฉลี่ย จากห้องขนาดประมาณ 5 x 7 ม) </t>
  </si>
  <si>
    <t>หากกรณีผนังสูงกว่า 3.60 ให้บวกเพิ่มปริมาณ C-Stud อีก 0.13 ท่อน/ตร.ม. (กรณีต่อทาบ 0.60 ม.)</t>
  </si>
  <si>
    <t xml:space="preserve"> </t>
  </si>
  <si>
    <t>สกรู ยิงโครง 13 มม.</t>
  </si>
  <si>
    <t>ชุดหิ้วโครง ML1</t>
  </si>
  <si>
    <t>โครงคร่าวบน  SL40</t>
  </si>
  <si>
    <t>ค่าแรง</t>
  </si>
  <si>
    <t>/ตร.ม.</t>
  </si>
  <si>
    <t xml:space="preserve">ฉากริมฉาบเรียบ SA1  (เฉลี่ย จากห้องขนาดประมาณ 5 x 7 ม) </t>
  </si>
  <si>
    <t>แผ่นยิปซัม 9 มม. ธรรมดา (แผ่น)</t>
  </si>
  <si>
    <t>ส่วนลด %</t>
  </si>
  <si>
    <t>ส่วนลด  %</t>
  </si>
  <si>
    <t>โครงคร่าวบน  ML50A</t>
  </si>
  <si>
    <t>โครงคร่าว ล่าง ML50A</t>
  </si>
  <si>
    <t>แผ่น Gyptone BIG หนา 12.5 มม.  (แผ่น)</t>
  </si>
  <si>
    <t>โครงคร่าวล่าง  SL40</t>
  </si>
  <si>
    <t>ML50A ระยะโครง 0.60 x 0.60 ม. ติดแผ่น Gyptone BIG (ชุดแขวนที่ระยะ 1.20 เมตร)</t>
  </si>
  <si>
    <t>SL40 ติดตั้ง ระยะโครง 0.40 x 0.80ม. (ใช้ชุดแขวนระยะห่าง 0.80 เมตร)</t>
  </si>
  <si>
    <t>SuperWall Block C49 ติดตั้งทุกระยะห่าง 40 ซม. ไม่มีตัวซอย (2x13mm DuraLine)</t>
  </si>
  <si>
    <t>พื้นที่ติดตั้งแผ่นยิปซัม (ติดแผ่น 2 ชั้น 2 ด้านของโครงคร่าว)</t>
  </si>
  <si>
    <t>Track 51 S50</t>
  </si>
  <si>
    <r>
      <t>แผ่นยิปซัม 13</t>
    </r>
    <r>
      <rPr>
        <b/>
        <sz val="14"/>
        <rFont val="AngsanaUPC"/>
        <family val="1"/>
        <charset val="222"/>
      </rPr>
      <t xml:space="preserve"> มม. DuraLine</t>
    </r>
    <r>
      <rPr>
        <sz val="14"/>
        <rFont val="AngsanaUPC"/>
        <family val="1"/>
      </rPr>
      <t xml:space="preserve"> (ติดตั้ง 2 ชั้น 2 ด้านของโครงคร่าว)</t>
    </r>
  </si>
  <si>
    <t>สกรูยิปซัม 38 มม.</t>
  </si>
  <si>
    <t>Revised 13 Jan 2014</t>
  </si>
  <si>
    <t>ฝ้าเพดานฉาบเรียบ ML50A: แผ่นยิปซัม 9 มม. ชนิดธรรมดา / ติดตั้ง ระยะโครง 0.40 x 0.60 ม. ชุดแขวน 0.60 ม.</t>
  </si>
  <si>
    <t>Stud 49 S50 (Boxed Stud)</t>
  </si>
  <si>
    <t>ค่าคลาดเคลื่อน</t>
  </si>
  <si>
    <t>ม.</t>
  </si>
  <si>
    <t>จำนวนที่ใช้</t>
  </si>
  <si>
    <t>*** ค่าประมาณตัวเลขการใช้งานทั้งหมด  เผื่อปริมาณการสูญเสียไว้ตามค่าคลาดเคลื่อน โดยประมาณ</t>
  </si>
  <si>
    <t>จำนวนต่อ ตรม.</t>
  </si>
  <si>
    <t>ราคาต่อ ตรม.</t>
  </si>
  <si>
    <t>น้ำหนักรวม</t>
  </si>
  <si>
    <t>น้ำหนักต่อ ตรม.</t>
  </si>
  <si>
    <t>น้ำหนัก (กก.)</t>
  </si>
  <si>
    <t>ราคาทั้งสิ้น</t>
  </si>
  <si>
    <t>Price</t>
  </si>
  <si>
    <t>length</t>
  </si>
  <si>
    <t>width</t>
  </si>
  <si>
    <t>kg/unit</t>
  </si>
  <si>
    <t>usage</t>
  </si>
  <si>
    <t>Weight</t>
  </si>
  <si>
    <t>Angle</t>
  </si>
  <si>
    <t>ML50A</t>
  </si>
  <si>
    <t>ML1A</t>
  </si>
  <si>
    <t>Soffit cleat</t>
  </si>
  <si>
    <t>Rod joiner</t>
  </si>
  <si>
    <t>Rod-Joiner</t>
  </si>
  <si>
    <t>Rod</t>
  </si>
  <si>
    <t>Channel connector</t>
  </si>
  <si>
    <t>ML3A</t>
  </si>
  <si>
    <t>Drywall screw 25mm</t>
  </si>
  <si>
    <t>Sub channel</t>
  </si>
  <si>
    <t>Main channel</t>
  </si>
  <si>
    <t>Expansion bolt 6mm</t>
  </si>
  <si>
    <t>ML9A</t>
  </si>
  <si>
    <t>Connection clip</t>
  </si>
  <si>
    <t>Joint compound</t>
  </si>
  <si>
    <t>Tape</t>
  </si>
  <si>
    <t>Cotton tape</t>
  </si>
  <si>
    <t>Track</t>
  </si>
  <si>
    <t>U-Track 51T50</t>
  </si>
  <si>
    <t>U-Track 64T50</t>
  </si>
  <si>
    <t>U-Track 76T50</t>
  </si>
  <si>
    <t>U-Track 94T50</t>
  </si>
  <si>
    <t>Board</t>
  </si>
  <si>
    <t>thick</t>
  </si>
  <si>
    <t>RG 12mm 1200x2400</t>
  </si>
  <si>
    <t>RG 15mm 1200x2400</t>
  </si>
  <si>
    <t>DU 13mm 1200x2400</t>
  </si>
  <si>
    <t>Habito 12.5mm 1200x2400</t>
  </si>
  <si>
    <t>Glasroc H 12.5mm 1200x2400</t>
  </si>
  <si>
    <t>MR 12mm 1200x2400</t>
  </si>
  <si>
    <t>FS 13mm 1200x2400</t>
  </si>
  <si>
    <t>FS 16mm 1200x2400</t>
  </si>
  <si>
    <t>Expansion bolt</t>
  </si>
  <si>
    <t>Drywall screw 38mm</t>
  </si>
  <si>
    <t>Hartfix screw 25mm</t>
  </si>
  <si>
    <t>Hartfix screw 38mm</t>
  </si>
  <si>
    <t>Screw 75mm</t>
  </si>
  <si>
    <t>Hartfix screw 45mm</t>
  </si>
  <si>
    <t>Wafer head screw</t>
  </si>
  <si>
    <t>Wafer head screw 13mm</t>
  </si>
  <si>
    <t>Jointing plaster</t>
  </si>
  <si>
    <t>Gyproc Joint Filler/Finish</t>
  </si>
  <si>
    <t>Length</t>
  </si>
  <si>
    <t>Weber BE14 Tape (10m.)</t>
  </si>
  <si>
    <t>Insulation</t>
  </si>
  <si>
    <t>Width</t>
  </si>
  <si>
    <t>Sealant</t>
  </si>
  <si>
    <t>Volume</t>
  </si>
  <si>
    <t>Normal sealant 600ml</t>
  </si>
  <si>
    <t>Gyproc Super Joint</t>
  </si>
  <si>
    <t>ISOVER Building Insulation 24K</t>
  </si>
  <si>
    <t>ISOVER Building Insulation 40K</t>
  </si>
  <si>
    <t>XL50</t>
  </si>
  <si>
    <t>SL40</t>
  </si>
  <si>
    <t>45x18</t>
  </si>
  <si>
    <t>37x14</t>
  </si>
  <si>
    <t>35x12</t>
  </si>
  <si>
    <t>GA1</t>
  </si>
  <si>
    <t>25x25</t>
  </si>
  <si>
    <t>XL9</t>
  </si>
  <si>
    <t>SL9</t>
  </si>
  <si>
    <t>XL3</t>
  </si>
  <si>
    <t>42.5x15.5</t>
  </si>
  <si>
    <t>34x9</t>
  </si>
  <si>
    <t>Suspension hook</t>
  </si>
  <si>
    <t>XL1</t>
  </si>
  <si>
    <t>ML1</t>
  </si>
  <si>
    <t>Steel rod 4mm</t>
  </si>
  <si>
    <t>แผ่น</t>
  </si>
  <si>
    <t>ม้วน</t>
  </si>
  <si>
    <t>520010020000001</t>
  </si>
  <si>
    <t>520010020000002</t>
  </si>
  <si>
    <t>520010020000003</t>
  </si>
  <si>
    <t>520010020000004</t>
  </si>
  <si>
    <t>520040020000005</t>
  </si>
  <si>
    <t>520040020000004</t>
  </si>
  <si>
    <t>520040010000005</t>
  </si>
  <si>
    <t>520080110000008</t>
  </si>
  <si>
    <t>520080110000007</t>
  </si>
  <si>
    <t>520080110000002</t>
  </si>
  <si>
    <t>520088250000001</t>
  </si>
  <si>
    <t>520088240000001</t>
  </si>
  <si>
    <t>520088230000001</t>
  </si>
  <si>
    <t>520088220000001</t>
  </si>
  <si>
    <t>520080120000001</t>
  </si>
  <si>
    <t>520080050000001</t>
  </si>
  <si>
    <t>520080030000003</t>
  </si>
  <si>
    <t>520080010000001</t>
  </si>
  <si>
    <t>520040050000003</t>
  </si>
  <si>
    <t>100010020000044</t>
  </si>
  <si>
    <t>100010020000070</t>
  </si>
  <si>
    <t>100170020000002</t>
  </si>
  <si>
    <t>100020021300001</t>
  </si>
  <si>
    <t>100180020000001</t>
  </si>
  <si>
    <t>100040020000007</t>
  </si>
  <si>
    <t>100020020000009</t>
  </si>
  <si>
    <t>100020020000013</t>
  </si>
  <si>
    <t>M2TECH 12mm 1200x2400</t>
  </si>
  <si>
    <t>100160020000011</t>
  </si>
  <si>
    <t>520080070000001</t>
  </si>
  <si>
    <t>520080080000001</t>
  </si>
  <si>
    <t>520080080000002</t>
  </si>
  <si>
    <t>520080080000011</t>
  </si>
  <si>
    <t>520080080000012</t>
  </si>
  <si>
    <t>520080080000013</t>
  </si>
  <si>
    <t>520080080000005</t>
  </si>
  <si>
    <t>520080080000004</t>
  </si>
  <si>
    <t>410010010100001</t>
  </si>
  <si>
    <t>410010010800001</t>
  </si>
  <si>
    <t>520080140000001</t>
  </si>
  <si>
    <t>520080140000004</t>
  </si>
  <si>
    <t>520088260000009</t>
  </si>
  <si>
    <t>520088260000010</t>
  </si>
  <si>
    <t>รหัสสินค้า</t>
  </si>
  <si>
    <t>ML75</t>
  </si>
  <si>
    <t>520080130000001</t>
  </si>
  <si>
    <t>ML6A</t>
  </si>
  <si>
    <t>19x29</t>
  </si>
  <si>
    <t>520020010000002</t>
  </si>
  <si>
    <t>Fiber mesh 5I</t>
  </si>
  <si>
    <t>DU 16mm 1200x2400</t>
  </si>
  <si>
    <t>100020021600004</t>
  </si>
  <si>
    <t>ความสูงของผนัง</t>
  </si>
  <si>
    <t>ความยาวผนัง</t>
  </si>
  <si>
    <t>พื้นที่เปียก - Weber.tape fiber Mesh 5
พื้นที่แห้ง - Gyproc Cotton tape</t>
  </si>
  <si>
    <t>100020021600001</t>
  </si>
  <si>
    <t>DU MR 16mm 1200x2400</t>
  </si>
  <si>
    <t>N/A</t>
  </si>
  <si>
    <t>Fire sealant 580ml</t>
  </si>
  <si>
    <t>Plasterboard (1st layer)</t>
  </si>
  <si>
    <t>งานผนัง - Gypfill SuperJoint</t>
  </si>
  <si>
    <t>Weber Dry Top (For MR)</t>
  </si>
  <si>
    <t>Weber Dry Top (For GlasRoc)</t>
  </si>
  <si>
    <t>Weber Dry 2Flex (For MR)</t>
  </si>
  <si>
    <t>Weber Dry 2Flex (For GlasRoc)</t>
  </si>
  <si>
    <t>Waterproof tape</t>
  </si>
  <si>
    <t>Waterproof</t>
  </si>
  <si>
    <t>ถัง</t>
  </si>
  <si>
    <r>
      <t xml:space="preserve">Wet area only
</t>
    </r>
    <r>
      <rPr>
        <b/>
        <sz val="14"/>
        <color rgb="FFFF0000"/>
        <rFont val="AngsanaUPC"/>
        <family val="1"/>
      </rPr>
      <t>***Confirm item code&amp;price กับ PM หากไม่มีตัดออก</t>
    </r>
  </si>
  <si>
    <t>NA</t>
  </si>
  <si>
    <t>ถุง (25 kg.)</t>
  </si>
  <si>
    <t>ม้วน (25 m.)</t>
  </si>
  <si>
    <t>Drywall screw (2nd layer)</t>
  </si>
  <si>
    <t>Drywall screw (1st layer)</t>
  </si>
  <si>
    <t>Adhesive Plaster</t>
  </si>
  <si>
    <t>420020020100002</t>
  </si>
  <si>
    <t>Revised 7 April 2020</t>
  </si>
  <si>
    <t>ผนังกรุทับ DriLyner ติดแผ่น 12มม. ขึ้นไป</t>
  </si>
  <si>
    <t>DriLyner 3 Row</t>
  </si>
  <si>
    <t>พื้นที่ติดตั้งปูนกาว</t>
  </si>
  <si>
    <t>พื้นที่ติดตั้งแผ่นยิปซัม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</si>
</sst>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4"/>
      <name val="AngsanaUPC"/>
    </font>
    <font>
      <b/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</font>
    <font>
      <b/>
      <sz val="16"/>
      <name val="AngsanaUPC"/>
      <family val="1"/>
    </font>
    <font>
      <b/>
      <u/>
      <sz val="14"/>
      <name val="AngsanaUPC"/>
      <family val="1"/>
    </font>
    <font>
      <u/>
      <sz val="14"/>
      <name val="AngsanaUPC"/>
      <family val="1"/>
    </font>
    <font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i/>
      <sz val="14"/>
      <name val="Cordia New"/>
      <family val="2"/>
      <charset val="222"/>
    </font>
    <font>
      <b/>
      <i/>
      <sz val="14"/>
      <name val="Cordia New"/>
      <family val="2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24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b/>
      <sz val="22"/>
      <name val="AngsanaUPC"/>
      <family val="1"/>
      <charset val="222"/>
    </font>
    <font>
      <sz val="14"/>
      <color indexed="10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10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19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ngsanaUPC"/>
      <family val="1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b/>
      <u/>
      <sz val="14"/>
      <color rgb="FFFF0000"/>
      <name val="AngsanaUPC"/>
      <family val="1"/>
    </font>
    <font>
      <b/>
      <sz val="14"/>
      <color rgb="FFFF0000"/>
      <name val="AngsanaUPC"/>
      <family val="1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3" fillId="0" borderId="0"/>
    <xf numFmtId="0" fontId="21" fillId="17" borderId="2" applyNumberFormat="0" applyAlignment="0" applyProtection="0"/>
    <xf numFmtId="0" fontId="28" fillId="0" borderId="6" applyNumberFormat="0" applyFill="0" applyAlignment="0" applyProtection="0"/>
    <xf numFmtId="0" fontId="19" fillId="15" borderId="0" applyNumberFormat="0" applyBorder="0" applyAlignment="0" applyProtection="0"/>
    <xf numFmtId="0" fontId="30" fillId="16" borderId="8" applyNumberFormat="0" applyAlignment="0" applyProtection="0"/>
    <xf numFmtId="0" fontId="20" fillId="16" borderId="1" applyNumberFormat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7" fillId="7" borderId="1" applyNumberFormat="0" applyAlignment="0" applyProtection="0"/>
    <xf numFmtId="0" fontId="29" fillId="7" borderId="0" applyNumberFormat="0" applyBorder="0" applyAlignment="0" applyProtection="0"/>
    <xf numFmtId="0" fontId="32" fillId="0" borderId="9" applyNumberFormat="0" applyFill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4" borderId="7" applyNumberFormat="0" applyFon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10" xfId="0" applyBorder="1"/>
    <xf numFmtId="0" fontId="4" fillId="0" borderId="0" xfId="0" applyFont="1" applyAlignment="1">
      <alignment horizontal="centerContinuous"/>
    </xf>
    <xf numFmtId="0" fontId="0" fillId="0" borderId="11" xfId="0" applyBorder="1"/>
    <xf numFmtId="0" fontId="0" fillId="0" borderId="0" xfId="0" applyBorder="1"/>
    <xf numFmtId="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Continuous"/>
    </xf>
    <xf numFmtId="4" fontId="0" fillId="0" borderId="12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3" xfId="0" applyBorder="1"/>
    <xf numFmtId="4" fontId="0" fillId="0" borderId="14" xfId="0" applyNumberForma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0" fillId="0" borderId="14" xfId="0" applyNumberFormat="1" applyBorder="1"/>
    <xf numFmtId="0" fontId="0" fillId="0" borderId="15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"/>
    </xf>
    <xf numFmtId="15" fontId="4" fillId="0" borderId="0" xfId="0" applyNumberFormat="1" applyFont="1" applyAlignment="1">
      <alignment horizontal="centerContinuous"/>
    </xf>
    <xf numFmtId="2" fontId="9" fillId="0" borderId="0" xfId="0" applyNumberFormat="1" applyFont="1" applyBorder="1"/>
    <xf numFmtId="2" fontId="10" fillId="0" borderId="0" xfId="0" applyNumberFormat="1" applyFont="1" applyBorder="1" applyAlignment="1">
      <alignment vertical="center"/>
    </xf>
    <xf numFmtId="0" fontId="5" fillId="18" borderId="15" xfId="0" applyFont="1" applyFill="1" applyBorder="1"/>
    <xf numFmtId="0" fontId="0" fillId="18" borderId="0" xfId="0" applyFill="1" applyBorder="1"/>
    <xf numFmtId="0" fontId="12" fillId="18" borderId="0" xfId="0" applyFont="1" applyFill="1" applyAlignment="1">
      <alignment horizontal="center"/>
    </xf>
    <xf numFmtId="0" fontId="0" fillId="18" borderId="15" xfId="0" applyFill="1" applyBorder="1"/>
    <xf numFmtId="0" fontId="0" fillId="18" borderId="0" xfId="0" applyFill="1" applyBorder="1" applyAlignment="1">
      <alignment horizontal="left"/>
    </xf>
    <xf numFmtId="0" fontId="0" fillId="18" borderId="0" xfId="0" applyFill="1" applyAlignment="1"/>
    <xf numFmtId="0" fontId="3" fillId="18" borderId="0" xfId="0" applyFont="1" applyFill="1" applyBorder="1"/>
    <xf numFmtId="0" fontId="2" fillId="0" borderId="18" xfId="0" applyFont="1" applyFill="1" applyBorder="1" applyAlignment="1"/>
    <xf numFmtId="0" fontId="11" fillId="18" borderId="0" xfId="0" applyFont="1" applyFill="1" applyAlignment="1">
      <alignment horizontal="right"/>
    </xf>
    <xf numFmtId="0" fontId="0" fillId="0" borderId="17" xfId="0" applyBorder="1" applyAlignment="1">
      <alignment horizontal="center"/>
    </xf>
    <xf numFmtId="0" fontId="1" fillId="19" borderId="16" xfId="0" applyFont="1" applyFill="1" applyBorder="1" applyAlignment="1">
      <alignment horizontal="centerContinuous"/>
    </xf>
    <xf numFmtId="0" fontId="7" fillId="19" borderId="16" xfId="0" applyFont="1" applyFill="1" applyBorder="1" applyAlignment="1">
      <alignment horizontal="centerContinuous"/>
    </xf>
    <xf numFmtId="0" fontId="1" fillId="19" borderId="16" xfId="0" applyFont="1" applyFill="1" applyBorder="1" applyAlignment="1"/>
    <xf numFmtId="0" fontId="0" fillId="19" borderId="16" xfId="0" applyFill="1" applyBorder="1" applyAlignment="1">
      <alignment horizontal="centerContinuous"/>
    </xf>
    <xf numFmtId="0" fontId="2" fillId="19" borderId="16" xfId="0" applyFont="1" applyFill="1" applyBorder="1" applyAlignment="1"/>
    <xf numFmtId="0" fontId="0" fillId="19" borderId="14" xfId="0" applyFill="1" applyBorder="1" applyAlignment="1">
      <alignment horizontal="centerContinuous"/>
    </xf>
    <xf numFmtId="0" fontId="0" fillId="0" borderId="19" xfId="0" applyBorder="1"/>
    <xf numFmtId="0" fontId="8" fillId="0" borderId="16" xfId="0" applyFont="1" applyBorder="1" applyAlignment="1">
      <alignment horizontal="centerContinuous"/>
    </xf>
    <xf numFmtId="0" fontId="8" fillId="19" borderId="14" xfId="0" applyFont="1" applyFill="1" applyBorder="1" applyAlignment="1">
      <alignment horizontal="centerContinuous"/>
    </xf>
    <xf numFmtId="0" fontId="0" fillId="19" borderId="16" xfId="0" applyFill="1" applyBorder="1" applyAlignment="1">
      <alignment horizontal="left" wrapText="1"/>
    </xf>
    <xf numFmtId="0" fontId="15" fillId="18" borderId="0" xfId="0" applyFont="1" applyFill="1" applyBorder="1" applyAlignment="1">
      <alignment horizontal="center"/>
    </xf>
    <xf numFmtId="0" fontId="1" fillId="20" borderId="20" xfId="0" applyFont="1" applyFill="1" applyBorder="1" applyAlignment="1">
      <alignment horizontal="centerContinuous"/>
    </xf>
    <xf numFmtId="0" fontId="1" fillId="20" borderId="2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0" fillId="0" borderId="14" xfId="0" applyBorder="1"/>
    <xf numFmtId="0" fontId="14" fillId="21" borderId="0" xfId="0" applyFont="1" applyFill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0" fontId="0" fillId="0" borderId="21" xfId="0" applyBorder="1"/>
    <xf numFmtId="0" fontId="16" fillId="0" borderId="10" xfId="0" applyFont="1" applyBorder="1"/>
    <xf numFmtId="4" fontId="16" fillId="0" borderId="10" xfId="0" applyNumberFormat="1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9" fontId="16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0" fontId="12" fillId="18" borderId="0" xfId="0" applyFont="1" applyFill="1" applyAlignment="1">
      <alignment horizontal="right"/>
    </xf>
    <xf numFmtId="0" fontId="12" fillId="22" borderId="0" xfId="0" applyFont="1" applyFill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23" borderId="0" xfId="0" applyFill="1" applyAlignment="1">
      <alignment horizontal="center"/>
    </xf>
    <xf numFmtId="0" fontId="3" fillId="23" borderId="0" xfId="0" applyFont="1" applyFill="1" applyBorder="1" applyAlignment="1">
      <alignment horizontal="center"/>
    </xf>
    <xf numFmtId="0" fontId="11" fillId="18" borderId="0" xfId="0" applyFont="1" applyFill="1" applyAlignment="1">
      <alignment horizontal="left"/>
    </xf>
    <xf numFmtId="0" fontId="0" fillId="23" borderId="0" xfId="0" applyFill="1" applyAlignment="1">
      <alignment horizontal="right"/>
    </xf>
    <xf numFmtId="2" fontId="0" fillId="0" borderId="12" xfId="0" applyNumberFormat="1" applyBorder="1" applyAlignment="1">
      <alignment horizontal="center"/>
    </xf>
    <xf numFmtId="0" fontId="1" fillId="20" borderId="20" xfId="0" applyFont="1" applyFill="1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24" borderId="25" xfId="0" applyFill="1" applyBorder="1" applyAlignment="1"/>
    <xf numFmtId="0" fontId="0" fillId="24" borderId="0" xfId="0" applyFill="1"/>
    <xf numFmtId="0" fontId="0" fillId="25" borderId="0" xfId="0" applyFill="1"/>
    <xf numFmtId="1" fontId="0" fillId="24" borderId="0" xfId="0" applyNumberFormat="1" applyFill="1"/>
    <xf numFmtId="0" fontId="3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" fontId="2" fillId="0" borderId="10" xfId="0" applyNumberFormat="1" applyFont="1" applyBorder="1" applyAlignment="1">
      <alignment horizontal="center"/>
    </xf>
    <xf numFmtId="2" fontId="0" fillId="25" borderId="0" xfId="0" applyNumberFormat="1" applyFill="1"/>
    <xf numFmtId="49" fontId="0" fillId="0" borderId="0" xfId="0" applyNumberFormat="1"/>
    <xf numFmtId="49" fontId="2" fillId="0" borderId="0" xfId="0" applyNumberFormat="1" applyFont="1"/>
    <xf numFmtId="0" fontId="0" fillId="26" borderId="2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9" fontId="3" fillId="0" borderId="0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23" borderId="16" xfId="0" applyFill="1" applyBorder="1" applyAlignment="1">
      <alignment horizontal="center"/>
    </xf>
    <xf numFmtId="0" fontId="0" fillId="23" borderId="19" xfId="0" applyFill="1" applyBorder="1"/>
    <xf numFmtId="2" fontId="0" fillId="23" borderId="10" xfId="0" applyNumberFormat="1" applyFill="1" applyBorder="1" applyAlignment="1">
      <alignment horizontal="center"/>
    </xf>
    <xf numFmtId="2" fontId="0" fillId="23" borderId="12" xfId="0" applyNumberFormat="1" applyFill="1" applyBorder="1" applyAlignment="1">
      <alignment horizontal="center"/>
    </xf>
    <xf numFmtId="4" fontId="0" fillId="23" borderId="12" xfId="0" applyNumberFormat="1" applyFill="1" applyBorder="1" applyAlignment="1">
      <alignment horizontal="center"/>
    </xf>
    <xf numFmtId="9" fontId="0" fillId="23" borderId="12" xfId="0" applyNumberFormat="1" applyFill="1" applyBorder="1" applyAlignment="1">
      <alignment horizontal="center"/>
    </xf>
    <xf numFmtId="4" fontId="0" fillId="23" borderId="13" xfId="0" applyNumberFormat="1" applyFill="1" applyBorder="1" applyAlignment="1">
      <alignment horizontal="center"/>
    </xf>
    <xf numFmtId="0" fontId="0" fillId="23" borderId="16" xfId="0" applyFill="1" applyBorder="1" applyAlignment="1">
      <alignment vertical="center" wrapText="1" shrinkToFit="1"/>
    </xf>
    <xf numFmtId="0" fontId="0" fillId="0" borderId="0" xfId="0" applyAlignment="1">
      <alignment horizontal="center"/>
    </xf>
    <xf numFmtId="0" fontId="36" fillId="0" borderId="0" xfId="0" quotePrefix="1" applyFont="1"/>
    <xf numFmtId="0" fontId="35" fillId="19" borderId="16" xfId="0" applyFont="1" applyFill="1" applyBorder="1" applyAlignment="1">
      <alignment horizontal="left" wrapText="1"/>
    </xf>
    <xf numFmtId="0" fontId="0" fillId="24" borderId="0" xfId="0" applyFill="1" applyAlignment="1">
      <alignment horizontal="right"/>
    </xf>
    <xf numFmtId="0" fontId="1" fillId="23" borderId="0" xfId="0" applyFont="1" applyFill="1" applyAlignment="1">
      <alignment horizontal="center"/>
    </xf>
    <xf numFmtId="2" fontId="1" fillId="23" borderId="0" xfId="0" applyNumberFormat="1" applyFont="1" applyFill="1" applyAlignment="1">
      <alignment horizontal="center"/>
    </xf>
    <xf numFmtId="0" fontId="0" fillId="23" borderId="0" xfId="0" applyFill="1"/>
    <xf numFmtId="4" fontId="0" fillId="23" borderId="14" xfId="0" applyNumberFormat="1" applyFill="1" applyBorder="1" applyAlignment="1">
      <alignment horizontal="center"/>
    </xf>
    <xf numFmtId="4" fontId="0" fillId="23" borderId="0" xfId="0" applyNumberFormat="1" applyFill="1" applyBorder="1" applyAlignment="1">
      <alignment horizontal="center"/>
    </xf>
    <xf numFmtId="0" fontId="15" fillId="23" borderId="0" xfId="0" applyFont="1" applyFill="1" applyBorder="1" applyAlignment="1">
      <alignment horizontal="center"/>
    </xf>
    <xf numFmtId="0" fontId="2" fillId="23" borderId="22" xfId="0" applyFont="1" applyFill="1" applyBorder="1"/>
    <xf numFmtId="0" fontId="2" fillId="0" borderId="22" xfId="0" applyFont="1" applyBorder="1"/>
    <xf numFmtId="0" fontId="0" fillId="23" borderId="23" xfId="0" applyFill="1" applyBorder="1"/>
    <xf numFmtId="0" fontId="0" fillId="23" borderId="17" xfId="0" applyFill="1" applyBorder="1"/>
    <xf numFmtId="0" fontId="1" fillId="23" borderId="16" xfId="0" applyFont="1" applyFill="1" applyBorder="1" applyAlignment="1">
      <alignment wrapText="1"/>
    </xf>
    <xf numFmtId="0" fontId="0" fillId="27" borderId="0" xfId="0" applyFill="1"/>
    <xf numFmtId="0" fontId="37" fillId="0" borderId="16" xfId="0" applyFont="1" applyFill="1" applyBorder="1" applyAlignment="1">
      <alignment wrapText="1"/>
    </xf>
    <xf numFmtId="0" fontId="37" fillId="0" borderId="13" xfId="0" applyFont="1" applyFill="1" applyBorder="1"/>
    <xf numFmtId="0" fontId="37" fillId="0" borderId="17" xfId="0" applyFont="1" applyFill="1" applyBorder="1"/>
    <xf numFmtId="0" fontId="37" fillId="0" borderId="27" xfId="0" applyFont="1" applyFill="1" applyBorder="1" applyAlignment="1">
      <alignment horizontal="center"/>
    </xf>
    <xf numFmtId="2" fontId="37" fillId="0" borderId="10" xfId="0" applyNumberFormat="1" applyFont="1" applyFill="1" applyBorder="1" applyAlignment="1">
      <alignment horizontal="center"/>
    </xf>
    <xf numFmtId="2" fontId="37" fillId="0" borderId="12" xfId="0" applyNumberFormat="1" applyFont="1" applyFill="1" applyBorder="1" applyAlignment="1">
      <alignment horizontal="center"/>
    </xf>
    <xf numFmtId="4" fontId="37" fillId="0" borderId="12" xfId="0" applyNumberFormat="1" applyFont="1" applyFill="1" applyBorder="1" applyAlignment="1">
      <alignment horizontal="center"/>
    </xf>
    <xf numFmtId="9" fontId="37" fillId="0" borderId="28" xfId="0" applyNumberFormat="1" applyFont="1" applyFill="1" applyBorder="1" applyAlignment="1">
      <alignment horizontal="center"/>
    </xf>
    <xf numFmtId="4" fontId="37" fillId="0" borderId="13" xfId="0" applyNumberFormat="1" applyFont="1" applyBorder="1" applyAlignment="1">
      <alignment horizontal="center"/>
    </xf>
    <xf numFmtId="0" fontId="37" fillId="0" borderId="10" xfId="0" applyFont="1" applyFill="1" applyBorder="1"/>
    <xf numFmtId="0" fontId="37" fillId="0" borderId="26" xfId="0" applyFont="1" applyFill="1" applyBorder="1"/>
    <xf numFmtId="0" fontId="2" fillId="23" borderId="17" xfId="0" applyFont="1" applyFill="1" applyBorder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19" borderId="16" xfId="0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19" borderId="16" xfId="0" applyFill="1" applyBorder="1" applyAlignment="1">
      <alignment horizontal="left" wrapText="1"/>
    </xf>
    <xf numFmtId="0" fontId="38" fillId="0" borderId="16" xfId="0" applyFont="1" applyFill="1" applyBorder="1" applyAlignment="1">
      <alignment horizontal="left" wrapText="1"/>
    </xf>
    <xf numFmtId="0" fontId="39" fillId="0" borderId="16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20" borderId="30" xfId="0" applyFont="1" applyFill="1" applyBorder="1" applyAlignment="1">
      <alignment horizontal="center"/>
    </xf>
    <xf numFmtId="0" fontId="1" fillId="20" borderId="31" xfId="0" applyFont="1" applyFill="1" applyBorder="1" applyAlignment="1">
      <alignment horizontal="center"/>
    </xf>
    <xf numFmtId="0" fontId="0" fillId="18" borderId="0" xfId="0" applyFill="1" applyBorder="1" applyAlignment="1">
      <alignment horizontal="left"/>
    </xf>
    <xf numFmtId="0" fontId="5" fillId="18" borderId="0" xfId="0" applyFont="1" applyFill="1" applyBorder="1" applyAlignment="1">
      <alignment horizontal="left"/>
    </xf>
    <xf numFmtId="0" fontId="0" fillId="23" borderId="0" xfId="0" applyFill="1" applyBorder="1" applyAlignment="1">
      <alignment horizontal="left"/>
    </xf>
    <xf numFmtId="0" fontId="0" fillId="23" borderId="0" xfId="0" applyFill="1" applyBorder="1" applyAlignment="1">
      <alignment horizontal="left"/>
    </xf>
  </cellXfs>
  <cellStyles count="4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Normal" xfId="0" builtinId="0"/>
    <cellStyle name="Normal 2" xfId="19"/>
    <cellStyle name="การคำนวณ" xfId="24"/>
    <cellStyle name="ข้อความเตือน" xfId="25"/>
    <cellStyle name="ข้อความอธิบาย" xfId="26"/>
    <cellStyle name="ชื่อเรื่อง" xfId="27"/>
    <cellStyle name="เซลล์ตรวจสอบ" xfId="20"/>
    <cellStyle name="เซลล์ที่มีการเชื่อมโยง" xfId="21"/>
    <cellStyle name="ดี" xfId="28"/>
    <cellStyle name="ป้อนค่า" xfId="29"/>
    <cellStyle name="ปานกลาง" xfId="30"/>
    <cellStyle name="ผลรวม" xfId="31"/>
    <cellStyle name="แย่" xfId="22"/>
    <cellStyle name="ส่วนที่ถูกเน้น1" xfId="32"/>
    <cellStyle name="ส่วนที่ถูกเน้น2" xfId="33"/>
    <cellStyle name="ส่วนที่ถูกเน้น3" xfId="34"/>
    <cellStyle name="ส่วนที่ถูกเน้น4" xfId="35"/>
    <cellStyle name="ส่วนที่ถูกเน้น5" xfId="36"/>
    <cellStyle name="ส่วนที่ถูกเน้น6" xfId="37"/>
    <cellStyle name="แสดงผล" xfId="23"/>
    <cellStyle name="หมายเหตุ" xfId="38"/>
    <cellStyle name="หัวเรื่อง 1" xfId="39"/>
    <cellStyle name="หัวเรื่อง 2" xfId="40"/>
    <cellStyle name="หัวเรื่อง 3" xfId="41"/>
    <cellStyle name="หัวเรื่อง 4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2247900</xdr:colOff>
      <xdr:row>3</xdr:row>
      <xdr:rowOff>66675</xdr:rowOff>
    </xdr:from>
    <xdr:to>
      <xdr:col>0</xdr:col>
      <xdr:colOff>3316792</xdr:colOff>
      <xdr:row>4</xdr:row>
      <xdr:rowOff>188672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247900" y="1095375"/>
          <a:ext cx="1066800" cy="419100"/>
        </a:xfrm>
        <a:prstGeom prst="wedgeRoundRectCallout">
          <a:avLst>
            <a:gd name="adj1" fmla="val 76787"/>
            <a:gd name="adj2" fmla="val 54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2005965</xdr:colOff>
      <xdr:row>3</xdr:row>
      <xdr:rowOff>9525</xdr:rowOff>
    </xdr:from>
    <xdr:to>
      <xdr:col>0</xdr:col>
      <xdr:colOff>3074620</xdr:colOff>
      <xdr:row>4</xdr:row>
      <xdr:rowOff>133350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9775" y="1038225"/>
          <a:ext cx="1066800" cy="419100"/>
        </a:xfrm>
        <a:prstGeom prst="wedgeRoundRectCallout">
          <a:avLst>
            <a:gd name="adj1" fmla="val 78574"/>
            <a:gd name="adj2" fmla="val 5909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365760</xdr:colOff>
      <xdr:row>8</xdr:row>
      <xdr:rowOff>125730</xdr:rowOff>
    </xdr:from>
    <xdr:to>
      <xdr:col>6</xdr:col>
      <xdr:colOff>2369915</xdr:colOff>
      <xdr:row>11</xdr:row>
      <xdr:rowOff>251460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20000" y="2800350"/>
          <a:ext cx="2000250" cy="933450"/>
        </a:xfrm>
        <a:prstGeom prst="wedgeRoundRectCallout">
          <a:avLst>
            <a:gd name="adj1" fmla="val -68569"/>
            <a:gd name="adj2" fmla="val -5713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1514475</xdr:colOff>
      <xdr:row>1</xdr:row>
      <xdr:rowOff>247650</xdr:rowOff>
    </xdr:to>
    <xdr:pic>
      <xdr:nvPicPr>
        <xdr:cNvPr id="55647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1920240</xdr:colOff>
      <xdr:row>3</xdr:row>
      <xdr:rowOff>9525</xdr:rowOff>
    </xdr:from>
    <xdr:to>
      <xdr:col>0</xdr:col>
      <xdr:colOff>2979928</xdr:colOff>
      <xdr:row>4</xdr:row>
      <xdr:rowOff>133350</xdr:rowOff>
    </xdr:to>
    <xdr:sp macro="" textlink="">
      <xdr:nvSpPr>
        <xdr:cNvPr id="31745" name="AutoShape 1"/>
        <xdr:cNvSpPr>
          <a:spLocks noChangeArrowheads="1"/>
        </xdr:cNvSpPr>
      </xdr:nvSpPr>
      <xdr:spPr bwMode="auto">
        <a:xfrm>
          <a:off x="1914525" y="1038225"/>
          <a:ext cx="1066800" cy="419100"/>
        </a:xfrm>
        <a:prstGeom prst="wedgeRoundRectCallout">
          <a:avLst>
            <a:gd name="adj1" fmla="val 79467"/>
            <a:gd name="adj2" fmla="val 5681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394335</xdr:colOff>
      <xdr:row>8</xdr:row>
      <xdr:rowOff>175260</xdr:rowOff>
    </xdr:from>
    <xdr:to>
      <xdr:col>6</xdr:col>
      <xdr:colOff>2398544</xdr:colOff>
      <xdr:row>12</xdr:row>
      <xdr:rowOff>47634</xdr:rowOff>
    </xdr:to>
    <xdr:sp macro="" textlink="">
      <xdr:nvSpPr>
        <xdr:cNvPr id="31747" name="AutoShape 3"/>
        <xdr:cNvSpPr>
          <a:spLocks noChangeArrowheads="1"/>
        </xdr:cNvSpPr>
      </xdr:nvSpPr>
      <xdr:spPr bwMode="auto">
        <a:xfrm>
          <a:off x="7153275" y="2857500"/>
          <a:ext cx="2000250" cy="666750"/>
        </a:xfrm>
        <a:prstGeom prst="wedgeRoundRectCallout">
          <a:avLst>
            <a:gd name="adj1" fmla="val -69523"/>
            <a:gd name="adj2" fmla="val -20000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856801</xdr:colOff>
      <xdr:row>3</xdr:row>
      <xdr:rowOff>55468</xdr:rowOff>
    </xdr:from>
    <xdr:to>
      <xdr:col>10</xdr:col>
      <xdr:colOff>1925456</xdr:colOff>
      <xdr:row>4</xdr:row>
      <xdr:rowOff>293593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1417225" y="1086409"/>
          <a:ext cx="1068655" cy="632572"/>
        </a:xfrm>
        <a:prstGeom prst="wedgeRoundRectCallout">
          <a:avLst>
            <a:gd name="adj1" fmla="val -130254"/>
            <a:gd name="adj2" fmla="val -32599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ใส่ความกว้าง</a:t>
          </a: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</a:p>
        <a:p>
          <a:pPr algn="ctr" rtl="0">
            <a:defRPr sz="1000"/>
          </a:pPr>
          <a:r>
            <a:rPr lang="th-TH" sz="1400" b="1" i="0" strike="noStrike" baseline="0">
              <a:solidFill>
                <a:srgbClr val="000000"/>
              </a:solidFill>
              <a:latin typeface="AngsanaUPC"/>
              <a:cs typeface="AngsanaUPC"/>
            </a:rPr>
            <a:t>ความยาวของห้อง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362511</xdr:colOff>
      <xdr:row>1</xdr:row>
      <xdr:rowOff>247650</xdr:rowOff>
    </xdr:to>
    <xdr:pic>
      <xdr:nvPicPr>
        <xdr:cNvPr id="71795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4478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44824</xdr:colOff>
      <xdr:row>2</xdr:row>
      <xdr:rowOff>260788</xdr:rowOff>
    </xdr:from>
    <xdr:to>
      <xdr:col>14</xdr:col>
      <xdr:colOff>171097</xdr:colOff>
      <xdr:row>13</xdr:row>
      <xdr:rowOff>256939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t="-230" r="49871" b="230"/>
        <a:stretch/>
      </xdr:blipFill>
      <xdr:spPr>
        <a:xfrm>
          <a:off x="13536706" y="852459"/>
          <a:ext cx="3613544" cy="3895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1931670</xdr:colOff>
      <xdr:row>3</xdr:row>
      <xdr:rowOff>57150</xdr:rowOff>
    </xdr:from>
    <xdr:to>
      <xdr:col>0</xdr:col>
      <xdr:colOff>2998470</xdr:colOff>
      <xdr:row>4</xdr:row>
      <xdr:rowOff>180975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933575" y="1085850"/>
          <a:ext cx="1066800" cy="419100"/>
        </a:xfrm>
        <a:prstGeom prst="wedgeRoundRectCallout">
          <a:avLst>
            <a:gd name="adj1" fmla="val 90181"/>
            <a:gd name="adj2" fmla="val 79546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 ใส่พื้นที่ติดตั้ง</a:t>
          </a:r>
        </a:p>
      </xdr:txBody>
    </xdr:sp>
    <xdr:clientData/>
  </xdr:twoCellAnchor>
  <xdr:twoCellAnchor>
    <xdr:from>
      <xdr:col>6</xdr:col>
      <xdr:colOff>392430</xdr:colOff>
      <xdr:row>8</xdr:row>
      <xdr:rowOff>116205</xdr:rowOff>
    </xdr:from>
    <xdr:to>
      <xdr:col>6</xdr:col>
      <xdr:colOff>2388755</xdr:colOff>
      <xdr:row>11</xdr:row>
      <xdr:rowOff>241968</xdr:rowOff>
    </xdr:to>
    <xdr:sp macro="" textlink="">
      <xdr:nvSpPr>
        <xdr:cNvPr id="3" name="AutoShape 6"/>
        <xdr:cNvSpPr>
          <a:spLocks noChangeArrowheads="1"/>
        </xdr:cNvSpPr>
      </xdr:nvSpPr>
      <xdr:spPr bwMode="auto">
        <a:xfrm>
          <a:off x="7781925" y="2790825"/>
          <a:ext cx="2000250" cy="933450"/>
        </a:xfrm>
        <a:prstGeom prst="wedgeRoundRectCallout">
          <a:avLst>
            <a:gd name="adj1" fmla="val -70477"/>
            <a:gd name="adj2" fmla="val -11431"/>
            <a:gd name="adj3" fmla="val 16667"/>
          </a:avLst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หากห้องกว้างกว่า   10  ม. ให้ลดปริมาณฉากริม เป็น 0.15  ท่อน /ตร.ม.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workbookViewId="0">
      <selection activeCell="A9" sqref="A9"/>
    </sheetView>
  </sheetViews>
  <sheetFormatPr defaultRowHeight="19.8" x14ac:dyDescent="0.5"/>
  <cols>
    <col min="1" max="1" width="59" customWidth="1"/>
    <col min="2" max="2" width="13.125" customWidth="1"/>
    <col min="3" max="3" width="14.875" customWidth="1"/>
    <col min="4" max="4" width="16.375" customWidth="1"/>
    <col min="5" max="5" width="11.375" customWidth="1"/>
    <col min="6" max="6" width="13.5" customWidth="1"/>
    <col min="7" max="7" width="46.625" bestFit="1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4" t="s">
        <v>61</v>
      </c>
      <c r="B3" s="124"/>
      <c r="C3" s="124"/>
      <c r="D3" s="124"/>
      <c r="E3" s="124"/>
      <c r="F3" s="124"/>
      <c r="G3" s="12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62</v>
      </c>
      <c r="B6" s="45">
        <f>+B5*2*2</f>
        <v>4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68</v>
      </c>
      <c r="B8" s="5" t="s">
        <v>36</v>
      </c>
      <c r="C8" s="10">
        <f>0.91*B5*2</f>
        <v>1.82</v>
      </c>
      <c r="D8" s="7">
        <f>120*1</f>
        <v>120</v>
      </c>
      <c r="E8" s="51">
        <v>0</v>
      </c>
      <c r="F8" s="9">
        <f>+(D8-(D8*E8))*C8</f>
        <v>218.4</v>
      </c>
      <c r="G8" s="125"/>
    </row>
    <row r="9" spans="1:7" x14ac:dyDescent="0.5">
      <c r="A9" s="1" t="s">
        <v>63</v>
      </c>
      <c r="B9" s="5" t="s">
        <v>36</v>
      </c>
      <c r="C9" s="10">
        <f>0.25*B5</f>
        <v>0.25</v>
      </c>
      <c r="D9" s="7">
        <f>105*1</f>
        <v>105</v>
      </c>
      <c r="E9" s="51">
        <v>0</v>
      </c>
      <c r="F9" s="9">
        <f t="shared" ref="F9:F15" si="0">+(D9-(D9*E9))*C9</f>
        <v>26.25</v>
      </c>
      <c r="G9" s="126"/>
    </row>
    <row r="10" spans="1:7" ht="20.399999999999999" x14ac:dyDescent="0.55000000000000004">
      <c r="A10" s="1" t="s">
        <v>64</v>
      </c>
      <c r="B10" s="5" t="s">
        <v>7</v>
      </c>
      <c r="C10" s="10">
        <f>0.36*B6</f>
        <v>1.44</v>
      </c>
      <c r="D10" s="7">
        <f>495*1</f>
        <v>495</v>
      </c>
      <c r="E10" s="51">
        <v>0</v>
      </c>
      <c r="F10" s="9">
        <f t="shared" si="0"/>
        <v>712.8</v>
      </c>
      <c r="G10" s="36"/>
    </row>
    <row r="11" spans="1:7" x14ac:dyDescent="0.5">
      <c r="A11" s="1" t="s">
        <v>16</v>
      </c>
      <c r="B11" s="5" t="s">
        <v>3</v>
      </c>
      <c r="C11" s="10">
        <f>1.25*B5</f>
        <v>1.25</v>
      </c>
      <c r="D11" s="7">
        <f>2*1</f>
        <v>2</v>
      </c>
      <c r="E11" s="51">
        <v>0</v>
      </c>
      <c r="F11" s="9">
        <f t="shared" si="0"/>
        <v>2.5</v>
      </c>
      <c r="G11" s="36"/>
    </row>
    <row r="12" spans="1:7" x14ac:dyDescent="0.5">
      <c r="A12" s="1" t="s">
        <v>17</v>
      </c>
      <c r="B12" s="5" t="s">
        <v>4</v>
      </c>
      <c r="C12" s="5">
        <f>0.019*B5*2</f>
        <v>3.7999999999999999E-2</v>
      </c>
      <c r="D12" s="7">
        <f>95*1</f>
        <v>95</v>
      </c>
      <c r="E12" s="51">
        <v>0</v>
      </c>
      <c r="F12" s="9">
        <f t="shared" si="0"/>
        <v>3.61</v>
      </c>
      <c r="G12" s="36"/>
    </row>
    <row r="13" spans="1:7" x14ac:dyDescent="0.5">
      <c r="A13" s="1" t="s">
        <v>65</v>
      </c>
      <c r="B13" s="5" t="s">
        <v>4</v>
      </c>
      <c r="C13" s="5">
        <f>0.019*B5*2*(700/488)</f>
        <v>5.4508196721311471E-2</v>
      </c>
      <c r="D13" s="7">
        <v>115</v>
      </c>
      <c r="E13" s="51">
        <v>0</v>
      </c>
      <c r="F13" s="9">
        <f>+(D13-(D13*E13))*C13</f>
        <v>6.2684426229508192</v>
      </c>
      <c r="G13" s="36"/>
    </row>
    <row r="14" spans="1:7" x14ac:dyDescent="0.5">
      <c r="A14" s="12" t="s">
        <v>15</v>
      </c>
      <c r="B14" s="21" t="s">
        <v>11</v>
      </c>
      <c r="C14" s="10">
        <f>0.015*B5*2</f>
        <v>0.03</v>
      </c>
      <c r="D14" s="7">
        <f>212*1</f>
        <v>212</v>
      </c>
      <c r="E14" s="51">
        <v>0</v>
      </c>
      <c r="F14" s="9">
        <f t="shared" si="0"/>
        <v>6.3599999999999994</v>
      </c>
      <c r="G14" s="36"/>
    </row>
    <row r="15" spans="1:7" x14ac:dyDescent="0.5">
      <c r="A15" s="12" t="s">
        <v>13</v>
      </c>
      <c r="B15" s="21" t="s">
        <v>12</v>
      </c>
      <c r="C15" s="48">
        <f>0.05*B5*2</f>
        <v>0.1</v>
      </c>
      <c r="D15" s="7">
        <f>37*1</f>
        <v>37</v>
      </c>
      <c r="E15" s="51">
        <v>0</v>
      </c>
      <c r="F15" s="9">
        <f t="shared" si="0"/>
        <v>3.7</v>
      </c>
      <c r="G15" s="38"/>
    </row>
    <row r="16" spans="1:7" x14ac:dyDescent="0.5">
      <c r="A16" s="1"/>
      <c r="B16" s="5"/>
      <c r="C16" s="10"/>
      <c r="D16" s="9"/>
      <c r="E16" s="9"/>
      <c r="F16" s="9"/>
      <c r="G16" s="127" t="s">
        <v>44</v>
      </c>
    </row>
    <row r="17" spans="1:7" x14ac:dyDescent="0.5">
      <c r="A17" s="1"/>
      <c r="B17" s="5"/>
      <c r="C17" s="10"/>
      <c r="D17" s="7"/>
      <c r="E17" s="7"/>
      <c r="F17" s="9"/>
      <c r="G17" s="128"/>
    </row>
    <row r="18" spans="1:7" x14ac:dyDescent="0.5">
      <c r="A18" s="1"/>
      <c r="B18" s="5"/>
      <c r="C18" s="10"/>
      <c r="D18" s="7"/>
      <c r="E18" s="7"/>
      <c r="F18" s="9"/>
      <c r="G18" s="20"/>
    </row>
    <row r="19" spans="1:7" ht="20.399999999999999" x14ac:dyDescent="0.55000000000000004">
      <c r="A19" s="1"/>
      <c r="B19" s="5"/>
      <c r="C19" s="10"/>
      <c r="D19" s="7"/>
      <c r="E19" s="7"/>
      <c r="F19" s="9"/>
      <c r="G19" s="42" t="s">
        <v>28</v>
      </c>
    </row>
    <row r="20" spans="1:7" ht="21" thickBot="1" x14ac:dyDescent="0.6">
      <c r="A20" s="3"/>
      <c r="B20" s="8"/>
      <c r="C20" s="11"/>
      <c r="D20" s="13"/>
      <c r="E20" s="13"/>
      <c r="F20" s="13"/>
      <c r="G20" s="42" t="s">
        <v>10</v>
      </c>
    </row>
    <row r="21" spans="1:7" ht="21" thickBot="1" x14ac:dyDescent="0.6">
      <c r="A21" s="14" t="s">
        <v>8</v>
      </c>
      <c r="C21" s="15"/>
      <c r="D21" s="15" t="s">
        <v>5</v>
      </c>
      <c r="E21" s="15"/>
      <c r="F21" s="16">
        <f>SUM(F8:F20)</f>
        <v>979.88844262295083</v>
      </c>
      <c r="G21" s="43" t="s">
        <v>18</v>
      </c>
    </row>
    <row r="22" spans="1:7" ht="20.399999999999999" x14ac:dyDescent="0.55000000000000004">
      <c r="A22" s="14"/>
      <c r="C22" s="15"/>
      <c r="D22" s="15"/>
      <c r="E22" s="15"/>
      <c r="F22" s="19"/>
      <c r="G22" s="32"/>
    </row>
    <row r="23" spans="1:7" x14ac:dyDescent="0.5">
      <c r="A23" s="17"/>
      <c r="B23" s="18"/>
      <c r="C23" s="4"/>
      <c r="D23" s="4"/>
      <c r="E23" s="4"/>
      <c r="F23" s="18"/>
      <c r="G23" s="4"/>
    </row>
    <row r="24" spans="1:7" x14ac:dyDescent="0.5">
      <c r="A24" s="24" t="s">
        <v>21</v>
      </c>
      <c r="B24" s="18"/>
      <c r="C24" s="4"/>
      <c r="F24" s="18"/>
      <c r="G24" s="4"/>
    </row>
    <row r="25" spans="1:7" ht="21" x14ac:dyDescent="0.6">
      <c r="A25" s="23" t="s">
        <v>22</v>
      </c>
      <c r="B25" s="18"/>
      <c r="C25" s="4"/>
      <c r="F25" s="18"/>
      <c r="G25" s="4"/>
    </row>
    <row r="26" spans="1:7" ht="21" x14ac:dyDescent="0.6">
      <c r="A26" s="23" t="s">
        <v>23</v>
      </c>
      <c r="B26" s="18"/>
    </row>
    <row r="27" spans="1:7" ht="21" x14ac:dyDescent="0.6">
      <c r="A27" s="23" t="s">
        <v>24</v>
      </c>
    </row>
  </sheetData>
  <mergeCells count="3">
    <mergeCell ref="A3:G3"/>
    <mergeCell ref="G8:G9"/>
    <mergeCell ref="G16:G17"/>
  </mergeCells>
  <pageMargins left="0.15748031496062992" right="0.15748031496062992" top="0.39370078740157483" bottom="0.39370078740157483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25" sqref="C2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3.875" customWidth="1"/>
    <col min="5" max="5" width="10.6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4" t="s">
        <v>67</v>
      </c>
      <c r="B3" s="124"/>
      <c r="C3" s="124"/>
      <c r="D3" s="124"/>
      <c r="E3" s="124"/>
      <c r="F3" s="124"/>
      <c r="G3" s="12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0.44*B5</f>
        <v>0.44</v>
      </c>
      <c r="D8" s="7">
        <f>98*1</f>
        <v>98</v>
      </c>
      <c r="E8" s="51">
        <v>0</v>
      </c>
      <c r="F8" s="9">
        <f>+(D8-(D8*E8))*C8</f>
        <v>43.12</v>
      </c>
      <c r="G8" s="125"/>
    </row>
    <row r="9" spans="1:7" x14ac:dyDescent="0.5">
      <c r="A9" s="1" t="s">
        <v>56</v>
      </c>
      <c r="B9" s="5" t="s">
        <v>30</v>
      </c>
      <c r="C9" s="10">
        <f>0.66*B5</f>
        <v>0.66</v>
      </c>
      <c r="D9" s="7">
        <f>98*1</f>
        <v>98</v>
      </c>
      <c r="E9" s="51">
        <v>0</v>
      </c>
      <c r="F9" s="9">
        <f t="shared" ref="F9:F22" si="0">+(D9-(D9*E9))*C9</f>
        <v>64.680000000000007</v>
      </c>
      <c r="G9" s="12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f>36*1</f>
        <v>36</v>
      </c>
      <c r="E10" s="51">
        <v>0</v>
      </c>
      <c r="F10" s="9">
        <f t="shared" si="0"/>
        <v>10.799999999999999</v>
      </c>
      <c r="G10" s="12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29"/>
    </row>
    <row r="12" spans="1:7" x14ac:dyDescent="0.5">
      <c r="A12" s="1" t="s">
        <v>37</v>
      </c>
      <c r="B12" s="5" t="s">
        <v>3</v>
      </c>
      <c r="C12" s="5">
        <f>2.92*$B$5</f>
        <v>2.92</v>
      </c>
      <c r="D12" s="7">
        <f>4*1</f>
        <v>4</v>
      </c>
      <c r="E12" s="51">
        <v>0</v>
      </c>
      <c r="F12" s="9">
        <f t="shared" si="0"/>
        <v>11.68</v>
      </c>
      <c r="G12" s="129"/>
    </row>
    <row r="13" spans="1:7" x14ac:dyDescent="0.5">
      <c r="A13" s="1" t="s">
        <v>38</v>
      </c>
      <c r="B13" s="5" t="s">
        <v>3</v>
      </c>
      <c r="C13" s="5">
        <f>2.92*$B$5</f>
        <v>2.92</v>
      </c>
      <c r="D13" s="7">
        <f>2.25*1</f>
        <v>2.25</v>
      </c>
      <c r="E13" s="51">
        <v>0</v>
      </c>
      <c r="F13" s="9">
        <f t="shared" si="0"/>
        <v>6.57</v>
      </c>
      <c r="G13" s="44"/>
    </row>
    <row r="14" spans="1:7" x14ac:dyDescent="0.5">
      <c r="A14" s="1" t="s">
        <v>41</v>
      </c>
      <c r="B14" s="5" t="s">
        <v>3</v>
      </c>
      <c r="C14" s="5">
        <f>2.92*$B$5</f>
        <v>2.92</v>
      </c>
      <c r="D14" s="7">
        <f>4*1</f>
        <v>4</v>
      </c>
      <c r="E14" s="51">
        <v>0</v>
      </c>
      <c r="F14" s="9">
        <f t="shared" si="0"/>
        <v>11.68</v>
      </c>
      <c r="G14" s="44"/>
    </row>
    <row r="15" spans="1:7" x14ac:dyDescent="0.5">
      <c r="A15" s="1" t="s">
        <v>40</v>
      </c>
      <c r="B15" s="5" t="s">
        <v>3</v>
      </c>
      <c r="C15" s="5">
        <f>0.85*B5</f>
        <v>0.85</v>
      </c>
      <c r="D15" s="7">
        <f>5.5*1</f>
        <v>5.5</v>
      </c>
      <c r="E15" s="51">
        <v>0</v>
      </c>
      <c r="F15" s="9">
        <f t="shared" si="0"/>
        <v>4.6749999999999998</v>
      </c>
      <c r="G15" s="44"/>
    </row>
    <row r="16" spans="1:7" x14ac:dyDescent="0.5">
      <c r="A16" s="1" t="s">
        <v>42</v>
      </c>
      <c r="B16" s="5" t="s">
        <v>36</v>
      </c>
      <c r="C16" s="5">
        <f>0.58*B5</f>
        <v>0.57999999999999996</v>
      </c>
      <c r="D16" s="7">
        <f>20*1</f>
        <v>20</v>
      </c>
      <c r="E16" s="51">
        <v>0</v>
      </c>
      <c r="F16" s="9">
        <f t="shared" si="0"/>
        <v>11.6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0.03*B6</f>
        <v>0.03</v>
      </c>
      <c r="D17" s="7">
        <f>95*1</f>
        <v>95</v>
      </c>
      <c r="E17" s="51">
        <v>0</v>
      </c>
      <c r="F17" s="9">
        <f t="shared" si="0"/>
        <v>2.85</v>
      </c>
      <c r="G17" s="35"/>
    </row>
    <row r="18" spans="1:8" x14ac:dyDescent="0.5">
      <c r="A18" s="1" t="s">
        <v>32</v>
      </c>
      <c r="B18" s="5" t="s">
        <v>33</v>
      </c>
      <c r="C18" s="5">
        <f>2.92*$B$5</f>
        <v>2.92</v>
      </c>
      <c r="D18" s="7">
        <f>2*1</f>
        <v>2</v>
      </c>
      <c r="E18" s="51">
        <v>0</v>
      </c>
      <c r="F18" s="9">
        <f t="shared" si="0"/>
        <v>5.84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4.38*B5</f>
        <v>4.38</v>
      </c>
      <c r="D19" s="7">
        <f>3.75*1</f>
        <v>3.75</v>
      </c>
      <c r="E19" s="51">
        <v>0</v>
      </c>
      <c r="F19" s="9">
        <f t="shared" si="0"/>
        <v>16.425000000000001</v>
      </c>
      <c r="G19" s="35"/>
    </row>
    <row r="20" spans="1:8" ht="20.399999999999999" x14ac:dyDescent="0.55000000000000004">
      <c r="A20" s="1" t="s">
        <v>52</v>
      </c>
      <c r="B20" s="5" t="s">
        <v>7</v>
      </c>
      <c r="C20" s="10">
        <f>0.36*B6</f>
        <v>0.36</v>
      </c>
      <c r="D20" s="7">
        <f>238*1</f>
        <v>238</v>
      </c>
      <c r="E20" s="51">
        <v>0</v>
      </c>
      <c r="F20" s="9">
        <f t="shared" si="0"/>
        <v>85.679999999999993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0.015*B6</f>
        <v>1.4999999999999999E-2</v>
      </c>
      <c r="D21" s="7">
        <f>212*1</f>
        <v>212</v>
      </c>
      <c r="E21" s="51">
        <v>0</v>
      </c>
      <c r="F21" s="9">
        <f t="shared" si="0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0.05*B6</f>
        <v>0.05</v>
      </c>
      <c r="D22" s="7">
        <f>37*1</f>
        <v>37</v>
      </c>
      <c r="E22" s="51">
        <v>0</v>
      </c>
      <c r="F22" s="9">
        <f t="shared" si="0"/>
        <v>1.85</v>
      </c>
      <c r="G22" s="37"/>
    </row>
    <row r="23" spans="1:8" x14ac:dyDescent="0.5">
      <c r="A23" s="1"/>
      <c r="B23" s="41"/>
      <c r="C23" s="41"/>
      <c r="D23" s="41"/>
      <c r="E23" s="41"/>
      <c r="F23" s="41"/>
      <c r="G23" s="38"/>
    </row>
    <row r="24" spans="1:8" ht="20.399999999999999" thickBot="1" x14ac:dyDescent="0.55000000000000004">
      <c r="A24" s="3"/>
      <c r="B24" s="13"/>
      <c r="C24" s="13"/>
      <c r="D24" s="13"/>
      <c r="E24" s="13" t="s">
        <v>45</v>
      </c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283.83000000000004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7" workbookViewId="0">
      <selection activeCell="A11" sqref="A11:F11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0.87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4" t="s">
        <v>59</v>
      </c>
      <c r="B3" s="124"/>
      <c r="C3" s="124"/>
      <c r="D3" s="124"/>
      <c r="E3" s="124"/>
      <c r="F3" s="124"/>
      <c r="G3" s="12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53</v>
      </c>
      <c r="F7" s="46" t="s">
        <v>2</v>
      </c>
      <c r="G7" s="46" t="s">
        <v>9</v>
      </c>
    </row>
    <row r="8" spans="1:7" x14ac:dyDescent="0.5">
      <c r="A8" s="1" t="s">
        <v>55</v>
      </c>
      <c r="B8" s="5" t="s">
        <v>30</v>
      </c>
      <c r="C8" s="10">
        <f>0.43*B5</f>
        <v>0.43</v>
      </c>
      <c r="D8" s="7">
        <v>98</v>
      </c>
      <c r="E8" s="52">
        <v>0</v>
      </c>
      <c r="F8" s="9">
        <f t="shared" ref="F8:F14" si="0">+D8*C8</f>
        <v>42.14</v>
      </c>
      <c r="G8" s="125"/>
    </row>
    <row r="9" spans="1:7" x14ac:dyDescent="0.5">
      <c r="A9" s="1" t="s">
        <v>56</v>
      </c>
      <c r="B9" s="5" t="s">
        <v>30</v>
      </c>
      <c r="C9" s="10">
        <f>0.43*B5</f>
        <v>0.43</v>
      </c>
      <c r="D9" s="7">
        <v>98</v>
      </c>
      <c r="E9" s="52">
        <v>0</v>
      </c>
      <c r="F9" s="9">
        <f t="shared" si="0"/>
        <v>42.14</v>
      </c>
      <c r="G9" s="126"/>
    </row>
    <row r="10" spans="1:7" x14ac:dyDescent="0.5">
      <c r="A10" s="1" t="s">
        <v>43</v>
      </c>
      <c r="B10" s="5" t="s">
        <v>25</v>
      </c>
      <c r="C10" s="5">
        <f>0.3*B5</f>
        <v>0.3</v>
      </c>
      <c r="D10" s="7">
        <v>36</v>
      </c>
      <c r="E10" s="52">
        <v>0</v>
      </c>
      <c r="F10" s="9">
        <f t="shared" si="0"/>
        <v>10.799999999999999</v>
      </c>
      <c r="G10" s="129"/>
    </row>
    <row r="11" spans="1:7" x14ac:dyDescent="0.5">
      <c r="A11" s="1" t="s">
        <v>46</v>
      </c>
      <c r="B11" s="5" t="s">
        <v>4</v>
      </c>
      <c r="C11" s="5">
        <f>0.008*B5</f>
        <v>8.0000000000000002E-3</v>
      </c>
      <c r="D11" s="7">
        <f>320*1</f>
        <v>320</v>
      </c>
      <c r="E11" s="51">
        <v>0</v>
      </c>
      <c r="F11" s="9">
        <f>+(D11-(D11*E11))*C11</f>
        <v>2.56</v>
      </c>
      <c r="G11" s="129"/>
    </row>
    <row r="12" spans="1:7" x14ac:dyDescent="0.5">
      <c r="A12" s="1" t="s">
        <v>37</v>
      </c>
      <c r="B12" s="5" t="s">
        <v>3</v>
      </c>
      <c r="C12" s="5">
        <f>1.45*B5</f>
        <v>1.45</v>
      </c>
      <c r="D12" s="7">
        <v>4</v>
      </c>
      <c r="E12" s="52">
        <v>0</v>
      </c>
      <c r="F12" s="9">
        <f t="shared" si="0"/>
        <v>5.8</v>
      </c>
      <c r="G12" s="129"/>
    </row>
    <row r="13" spans="1:7" x14ac:dyDescent="0.5">
      <c r="A13" s="1" t="s">
        <v>38</v>
      </c>
      <c r="B13" s="5" t="s">
        <v>3</v>
      </c>
      <c r="C13" s="5">
        <f>1.45*$B$5</f>
        <v>1.45</v>
      </c>
      <c r="D13" s="7">
        <v>2.25</v>
      </c>
      <c r="E13" s="52">
        <v>0</v>
      </c>
      <c r="F13" s="9">
        <f t="shared" si="0"/>
        <v>3.2624999999999997</v>
      </c>
      <c r="G13" s="44"/>
    </row>
    <row r="14" spans="1:7" x14ac:dyDescent="0.5">
      <c r="A14" s="1" t="s">
        <v>41</v>
      </c>
      <c r="B14" s="5" t="s">
        <v>3</v>
      </c>
      <c r="C14" s="5">
        <f>1.45*$B$5</f>
        <v>1.45</v>
      </c>
      <c r="D14" s="7">
        <v>4</v>
      </c>
      <c r="E14" s="52">
        <v>0</v>
      </c>
      <c r="F14" s="9">
        <f t="shared" si="0"/>
        <v>5.8</v>
      </c>
      <c r="G14" s="44"/>
    </row>
    <row r="15" spans="1:7" hidden="1" x14ac:dyDescent="0.5">
      <c r="A15" s="54" t="s">
        <v>40</v>
      </c>
      <c r="B15" s="55" t="s">
        <v>3</v>
      </c>
      <c r="C15" s="55">
        <f>0.9*B5</f>
        <v>0.9</v>
      </c>
      <c r="D15" s="56">
        <v>5.5</v>
      </c>
      <c r="E15" s="57">
        <v>0</v>
      </c>
      <c r="F15" s="58"/>
      <c r="G15" s="44"/>
    </row>
    <row r="16" spans="1:7" x14ac:dyDescent="0.5">
      <c r="A16" s="1" t="s">
        <v>42</v>
      </c>
      <c r="B16" s="5" t="s">
        <v>36</v>
      </c>
      <c r="C16" s="5">
        <f>(1.45*0.8/3)*B5</f>
        <v>0.38666666666666666</v>
      </c>
      <c r="D16" s="7">
        <v>20</v>
      </c>
      <c r="E16" s="52">
        <v>0</v>
      </c>
      <c r="F16" s="9">
        <f t="shared" ref="F16:F22" si="1">+D16*C16</f>
        <v>7.7333333333333334</v>
      </c>
      <c r="G16" s="44"/>
    </row>
    <row r="17" spans="1:8" ht="20.399999999999999" x14ac:dyDescent="0.55000000000000004">
      <c r="A17" s="1" t="s">
        <v>31</v>
      </c>
      <c r="B17" s="5" t="s">
        <v>4</v>
      </c>
      <c r="C17" s="5">
        <f>0.03*B5*700/488</f>
        <v>4.3032786885245901E-2</v>
      </c>
      <c r="D17" s="7">
        <v>95</v>
      </c>
      <c r="E17" s="52">
        <v>0</v>
      </c>
      <c r="F17" s="9">
        <f t="shared" si="1"/>
        <v>4.0881147540983607</v>
      </c>
      <c r="G17" s="35"/>
    </row>
    <row r="18" spans="1:8" x14ac:dyDescent="0.5">
      <c r="A18" s="1" t="s">
        <v>32</v>
      </c>
      <c r="B18" s="5" t="s">
        <v>33</v>
      </c>
      <c r="C18" s="5">
        <f>1.45*$B$5</f>
        <v>1.45</v>
      </c>
      <c r="D18" s="7">
        <v>2</v>
      </c>
      <c r="E18" s="52">
        <v>0</v>
      </c>
      <c r="F18" s="9">
        <f t="shared" si="1"/>
        <v>2.9</v>
      </c>
      <c r="G18" s="36"/>
    </row>
    <row r="19" spans="1:8" ht="20.399999999999999" x14ac:dyDescent="0.55000000000000004">
      <c r="A19" s="1" t="s">
        <v>39</v>
      </c>
      <c r="B19" s="5" t="s">
        <v>3</v>
      </c>
      <c r="C19" s="5">
        <f>2.91*B5</f>
        <v>2.91</v>
      </c>
      <c r="D19" s="7">
        <v>3.75</v>
      </c>
      <c r="E19" s="52">
        <v>0</v>
      </c>
      <c r="F19" s="9">
        <f t="shared" si="1"/>
        <v>10.912500000000001</v>
      </c>
      <c r="G19" s="35"/>
    </row>
    <row r="20" spans="1:8" ht="20.399999999999999" x14ac:dyDescent="0.55000000000000004">
      <c r="A20" s="1" t="s">
        <v>57</v>
      </c>
      <c r="B20" s="5" t="s">
        <v>7</v>
      </c>
      <c r="C20" s="10">
        <f>0.36*B6</f>
        <v>0.36</v>
      </c>
      <c r="D20" s="7">
        <v>1150</v>
      </c>
      <c r="E20" s="52">
        <v>0</v>
      </c>
      <c r="F20" s="9">
        <f t="shared" si="1"/>
        <v>414</v>
      </c>
      <c r="G20" s="35"/>
    </row>
    <row r="21" spans="1:8" ht="20.399999999999999" x14ac:dyDescent="0.55000000000000004">
      <c r="A21" s="12" t="s">
        <v>15</v>
      </c>
      <c r="B21" s="34" t="s">
        <v>11</v>
      </c>
      <c r="C21" s="10">
        <f>0.015*B5</f>
        <v>1.4999999999999999E-2</v>
      </c>
      <c r="D21" s="7">
        <v>212</v>
      </c>
      <c r="E21" s="52">
        <v>0</v>
      </c>
      <c r="F21" s="9">
        <f t="shared" si="1"/>
        <v>3.1799999999999997</v>
      </c>
      <c r="G21" s="35"/>
    </row>
    <row r="22" spans="1:8" ht="20.399999999999999" x14ac:dyDescent="0.55000000000000004">
      <c r="A22" s="12" t="s">
        <v>13</v>
      </c>
      <c r="B22" s="21" t="s">
        <v>12</v>
      </c>
      <c r="C22" s="10">
        <f>0.05*B5</f>
        <v>0.05</v>
      </c>
      <c r="D22" s="7">
        <v>37</v>
      </c>
      <c r="E22" s="52">
        <v>0</v>
      </c>
      <c r="F22" s="9">
        <f t="shared" si="1"/>
        <v>1.85</v>
      </c>
      <c r="G22" s="37"/>
    </row>
    <row r="23" spans="1:8" ht="20.399999999999999" thickBot="1" x14ac:dyDescent="0.55000000000000004">
      <c r="A23" s="3"/>
      <c r="B23" s="53"/>
      <c r="C23" s="53"/>
      <c r="D23" s="53"/>
      <c r="E23" s="53"/>
      <c r="F23" s="3"/>
      <c r="G23" s="38"/>
    </row>
    <row r="24" spans="1:8" ht="20.399999999999999" hidden="1" thickBot="1" x14ac:dyDescent="0.55000000000000004">
      <c r="A24" s="49" t="s">
        <v>49</v>
      </c>
      <c r="B24" s="13" t="s">
        <v>50</v>
      </c>
      <c r="C24" s="13">
        <f>B6</f>
        <v>1</v>
      </c>
      <c r="D24" s="13">
        <v>120</v>
      </c>
      <c r="E24" s="13"/>
      <c r="F24" s="13"/>
      <c r="G24" s="39"/>
    </row>
    <row r="25" spans="1:8" ht="21" thickBot="1" x14ac:dyDescent="0.6">
      <c r="A25" s="14" t="s">
        <v>8</v>
      </c>
      <c r="C25" s="15"/>
      <c r="D25" s="15" t="s">
        <v>5</v>
      </c>
      <c r="E25" s="15"/>
      <c r="F25" s="16">
        <f>SUM(F8:F24)</f>
        <v>557.16644808743172</v>
      </c>
      <c r="G25" s="40"/>
      <c r="H25" s="4"/>
    </row>
    <row r="26" spans="1:8" ht="20.399999999999999" x14ac:dyDescent="0.55000000000000004">
      <c r="A26" s="14"/>
      <c r="C26" s="15"/>
      <c r="D26" s="15"/>
      <c r="E26" s="15"/>
      <c r="F26" s="19"/>
      <c r="G26" s="6"/>
      <c r="H26" s="4"/>
    </row>
    <row r="27" spans="1:8" x14ac:dyDescent="0.5">
      <c r="A27" s="24" t="s">
        <v>21</v>
      </c>
    </row>
    <row r="28" spans="1:8" ht="21" x14ac:dyDescent="0.6">
      <c r="A28" s="23" t="s">
        <v>22</v>
      </c>
    </row>
    <row r="29" spans="1:8" ht="21" x14ac:dyDescent="0.6">
      <c r="A29" s="23" t="s">
        <v>23</v>
      </c>
    </row>
    <row r="30" spans="1:8" ht="21" x14ac:dyDescent="0.6">
      <c r="A30" s="23" t="s">
        <v>24</v>
      </c>
    </row>
  </sheetData>
  <mergeCells count="3">
    <mergeCell ref="A3:G3"/>
    <mergeCell ref="G8:G9"/>
    <mergeCell ref="G10:G12"/>
  </mergeCells>
  <phoneticPr fontId="0" type="noConversion"/>
  <pageMargins left="0.15748031496062992" right="0.15748031496062992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tabSelected="1" zoomScale="85" zoomScaleNormal="85" workbookViewId="0">
      <selection activeCell="C10" sqref="C10"/>
    </sheetView>
  </sheetViews>
  <sheetFormatPr defaultRowHeight="19.8" x14ac:dyDescent="0.5"/>
  <cols>
    <col min="1" max="1" width="20.125" customWidth="1"/>
    <col min="2" max="2" width="19.75" customWidth="1"/>
    <col min="3" max="3" width="37.625" customWidth="1"/>
    <col min="4" max="4" width="14.625" customWidth="1"/>
    <col min="5" max="6" width="16" customWidth="1"/>
    <col min="7" max="7" width="12.375" bestFit="1" customWidth="1"/>
    <col min="8" max="8" width="13.875" customWidth="1"/>
    <col min="9" max="9" width="10.625" customWidth="1"/>
    <col min="10" max="10" width="15" customWidth="1"/>
    <col min="11" max="11" width="45.375" customWidth="1"/>
    <col min="13" max="13" width="20.125" customWidth="1"/>
    <col min="14" max="14" width="28.125" customWidth="1"/>
    <col min="15" max="15" width="15.25" style="95" customWidth="1"/>
    <col min="16" max="16" width="31.125" style="95" customWidth="1"/>
    <col min="17" max="17" width="17.25" style="95" customWidth="1"/>
    <col min="18" max="18" width="59.5" style="95" customWidth="1"/>
  </cols>
  <sheetData>
    <row r="1" spans="1:21" ht="23.4" x14ac:dyDescent="0.6">
      <c r="B1" s="132" t="s">
        <v>14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21" ht="23.4" x14ac:dyDescent="0.6">
      <c r="C2" s="22"/>
      <c r="D2" s="2"/>
      <c r="E2" s="2"/>
      <c r="F2" s="2"/>
      <c r="G2" s="2"/>
      <c r="H2" s="2"/>
      <c r="I2" s="2"/>
      <c r="J2" s="2"/>
      <c r="K2" s="2"/>
    </row>
    <row r="3" spans="1:21" ht="34.799999999999997" x14ac:dyDescent="0.9">
      <c r="B3" s="124" t="s">
        <v>233</v>
      </c>
      <c r="C3" s="124"/>
      <c r="D3" s="124"/>
      <c r="E3" s="124"/>
      <c r="F3" s="124"/>
      <c r="G3" s="124"/>
      <c r="H3" s="124"/>
      <c r="I3" s="124"/>
      <c r="J3" s="124"/>
      <c r="K3" s="124"/>
      <c r="N3" s="4"/>
      <c r="O3" s="18"/>
      <c r="P3" s="18"/>
      <c r="Q3" s="18"/>
    </row>
    <row r="4" spans="1:21" ht="31.5" customHeight="1" x14ac:dyDescent="0.6">
      <c r="A4" s="136" t="s">
        <v>6</v>
      </c>
      <c r="B4" s="136"/>
      <c r="C4" s="136"/>
      <c r="D4" s="26"/>
      <c r="E4" s="26"/>
      <c r="F4" s="26"/>
      <c r="G4" s="26"/>
      <c r="H4" s="27"/>
      <c r="I4" s="59" t="s">
        <v>208</v>
      </c>
      <c r="J4" s="60">
        <v>2.8</v>
      </c>
      <c r="K4" s="65" t="s">
        <v>70</v>
      </c>
      <c r="N4" s="4"/>
      <c r="O4" s="18"/>
      <c r="P4" s="18"/>
      <c r="Q4" s="18"/>
      <c r="R4" s="18"/>
      <c r="S4" s="4"/>
      <c r="T4" s="4"/>
    </row>
    <row r="5" spans="1:21" ht="32.4" x14ac:dyDescent="0.85">
      <c r="A5" s="135" t="s">
        <v>235</v>
      </c>
      <c r="B5" s="135"/>
      <c r="C5" s="135"/>
      <c r="D5" s="104">
        <f>$J$4*$J$5</f>
        <v>28</v>
      </c>
      <c r="E5" s="29" t="s">
        <v>19</v>
      </c>
      <c r="F5" s="29"/>
      <c r="G5" s="29"/>
      <c r="H5" s="27"/>
      <c r="I5" s="59" t="s">
        <v>209</v>
      </c>
      <c r="J5" s="60">
        <v>10</v>
      </c>
      <c r="K5" s="65" t="s">
        <v>70</v>
      </c>
      <c r="N5" s="4"/>
      <c r="O5" s="18"/>
      <c r="P5" s="18"/>
      <c r="Q5" s="18"/>
      <c r="R5" s="18"/>
      <c r="S5" s="4"/>
      <c r="T5" s="61"/>
      <c r="U5" s="62"/>
    </row>
    <row r="6" spans="1:21" ht="32.4" x14ac:dyDescent="0.85">
      <c r="A6" s="135" t="s">
        <v>236</v>
      </c>
      <c r="B6" s="135"/>
      <c r="C6" s="135"/>
      <c r="D6" s="45">
        <f>+D5</f>
        <v>28</v>
      </c>
      <c r="E6" s="29" t="s">
        <v>20</v>
      </c>
      <c r="F6" s="29"/>
      <c r="G6" s="29"/>
      <c r="H6" s="30"/>
      <c r="I6" s="63"/>
      <c r="J6" s="64"/>
      <c r="K6" s="65"/>
      <c r="N6" s="4"/>
      <c r="O6" s="18"/>
      <c r="P6" s="18"/>
      <c r="Q6" s="18"/>
      <c r="R6" s="18"/>
      <c r="S6" s="4"/>
      <c r="T6" s="61"/>
    </row>
    <row r="7" spans="1:21" ht="33" thickBot="1" x14ac:dyDescent="0.9">
      <c r="A7" s="137"/>
      <c r="B7" s="137"/>
      <c r="C7" s="137"/>
      <c r="D7" s="104"/>
      <c r="E7" s="138"/>
      <c r="F7" s="29"/>
      <c r="G7" s="29"/>
      <c r="H7" s="30"/>
      <c r="I7" s="66" t="s">
        <v>69</v>
      </c>
      <c r="J7" s="85">
        <v>0.05</v>
      </c>
      <c r="K7" s="33" t="s">
        <v>232</v>
      </c>
      <c r="N7" s="4"/>
      <c r="O7" s="18"/>
      <c r="P7" s="18"/>
      <c r="Q7" s="18"/>
      <c r="R7" s="18"/>
      <c r="S7" s="4"/>
      <c r="T7" s="61"/>
    </row>
    <row r="8" spans="1:21" ht="21" thickBot="1" x14ac:dyDescent="0.6">
      <c r="A8" s="82" t="s">
        <v>199</v>
      </c>
      <c r="B8" s="133" t="s">
        <v>0</v>
      </c>
      <c r="C8" s="134"/>
      <c r="D8" s="47" t="s">
        <v>1</v>
      </c>
      <c r="E8" s="47" t="s">
        <v>71</v>
      </c>
      <c r="F8" s="68" t="s">
        <v>73</v>
      </c>
      <c r="G8" s="46" t="s">
        <v>77</v>
      </c>
      <c r="H8" s="47" t="s">
        <v>26</v>
      </c>
      <c r="I8" s="46" t="s">
        <v>53</v>
      </c>
      <c r="J8" s="46" t="s">
        <v>2</v>
      </c>
      <c r="K8" s="46" t="s">
        <v>9</v>
      </c>
      <c r="N8" s="4"/>
      <c r="O8" s="18"/>
      <c r="P8" s="18"/>
      <c r="Q8" s="18"/>
    </row>
    <row r="9" spans="1:21" x14ac:dyDescent="0.5">
      <c r="A9" s="87" t="str">
        <f>IFERROR(VLOOKUP($C9,Data!$A2:$I3,9,),0)</f>
        <v>420020020100002</v>
      </c>
      <c r="B9" s="105" t="s">
        <v>230</v>
      </c>
      <c r="C9" s="88" t="s">
        <v>234</v>
      </c>
      <c r="D9" s="122" t="s">
        <v>226</v>
      </c>
      <c r="E9" s="89">
        <f>IFERROR(VLOOKUP($C9,Data!$A2:$H3,7,),0)</f>
        <v>4.9035000000000002</v>
      </c>
      <c r="F9" s="90">
        <f t="shared" ref="F9:F12" si="0">$E9/$D$5</f>
        <v>0.175125</v>
      </c>
      <c r="G9" s="90">
        <f>IFERROR(VLOOKUP($C9,Data!$A2:$H3,5,),0)*E9</f>
        <v>122.58750000000001</v>
      </c>
      <c r="H9" s="91">
        <f>IFERROR(VLOOKUP($C9,Data!$A2:$H3,6,),0)</f>
        <v>250</v>
      </c>
      <c r="I9" s="92"/>
      <c r="J9" s="93">
        <f t="shared" ref="J9:J12" si="1">+(H9-(H9*I9))*E9</f>
        <v>1225.875</v>
      </c>
      <c r="K9" s="94"/>
      <c r="N9" s="4"/>
      <c r="O9" s="18"/>
      <c r="P9" s="18"/>
      <c r="Q9" s="18"/>
    </row>
    <row r="10" spans="1:21" ht="20.399999999999999" x14ac:dyDescent="0.55000000000000004">
      <c r="A10" s="83" t="str">
        <f>IFERROR(VLOOKUP($C10,Data!$A49:$I66,9,),0)</f>
        <v>100180020000001</v>
      </c>
      <c r="B10" s="106" t="s">
        <v>215</v>
      </c>
      <c r="C10" s="41" t="s">
        <v>114</v>
      </c>
      <c r="D10" s="78" t="s">
        <v>154</v>
      </c>
      <c r="E10" s="10">
        <f>IFERROR(VLOOKUP($C10,Data!$A49:$H66,7,),0)</f>
        <v>10.5</v>
      </c>
      <c r="F10" s="67">
        <f t="shared" si="0"/>
        <v>0.375</v>
      </c>
      <c r="G10" s="67">
        <f>IFERROR(VLOOKUP($C10,Data!$A49:$H66,5,),0)*E10</f>
        <v>317.52</v>
      </c>
      <c r="H10" s="7">
        <f>IFERROR(VLOOKUP($C10,Data!$A49:$H66,6,),0)</f>
        <v>765</v>
      </c>
      <c r="I10" s="51"/>
      <c r="J10" s="9">
        <f t="shared" si="1"/>
        <v>8032.5</v>
      </c>
      <c r="K10" s="35"/>
    </row>
    <row r="11" spans="1:21" ht="20.399999999999999" x14ac:dyDescent="0.55000000000000004">
      <c r="A11" s="87" t="str">
        <f>IFERROR(VLOOKUP($C11,Data!$A90:$I92,9,),0)</f>
        <v>410010010800001</v>
      </c>
      <c r="B11" s="107" t="s">
        <v>100</v>
      </c>
      <c r="C11" s="108" t="s">
        <v>135</v>
      </c>
      <c r="D11" s="122" t="s">
        <v>226</v>
      </c>
      <c r="E11" s="89">
        <f>IFERROR(VLOOKUP($C11,Data!$A90:$H92,7,),0)</f>
        <v>0.441</v>
      </c>
      <c r="F11" s="90">
        <f t="shared" si="0"/>
        <v>1.575E-2</v>
      </c>
      <c r="G11" s="90">
        <f>IFERROR(VLOOKUP($C11,Data!$A90:$H92,5,),0)*E11</f>
        <v>8.82</v>
      </c>
      <c r="H11" s="91">
        <f>IFERROR(VLOOKUP($C11,Data!$A90:$H92,6,),0)</f>
        <v>190</v>
      </c>
      <c r="I11" s="92"/>
      <c r="J11" s="93">
        <f t="shared" si="1"/>
        <v>83.79</v>
      </c>
      <c r="K11" s="109" t="s">
        <v>216</v>
      </c>
    </row>
    <row r="12" spans="1:21" ht="40.799999999999997" x14ac:dyDescent="0.55000000000000004">
      <c r="A12" s="83" t="str">
        <f>IFERROR(VLOOKUP($C12,Data!$A94:$I98,9,),0)</f>
        <v>520080140000004</v>
      </c>
      <c r="B12" s="69" t="s">
        <v>101</v>
      </c>
      <c r="C12" s="86" t="s">
        <v>205</v>
      </c>
      <c r="D12" s="21" t="s">
        <v>227</v>
      </c>
      <c r="E12" s="10">
        <f>IFERROR(VLOOKUP($C12,Data!$A94:$H96,7,),0)</f>
        <v>2.1</v>
      </c>
      <c r="F12" s="67">
        <f t="shared" si="0"/>
        <v>7.4999999999999997E-2</v>
      </c>
      <c r="G12" s="67">
        <f>IFERROR(VLOOKUP($C12,Data!$A94:$H96,5,),0)*E12</f>
        <v>1.26</v>
      </c>
      <c r="H12" s="7">
        <f>IFERROR(VLOOKUP($C12,Data!$A94:$H96,6,),0)</f>
        <v>31.5</v>
      </c>
      <c r="I12" s="51"/>
      <c r="J12" s="9">
        <f t="shared" si="1"/>
        <v>66.150000000000006</v>
      </c>
      <c r="K12" s="97" t="s">
        <v>210</v>
      </c>
    </row>
    <row r="13" spans="1:21" ht="20.399999999999999" customHeight="1" x14ac:dyDescent="0.5">
      <c r="A13" s="111"/>
      <c r="B13" s="112" t="s">
        <v>221</v>
      </c>
      <c r="C13" s="113" t="s">
        <v>129</v>
      </c>
      <c r="D13" s="114" t="s">
        <v>155</v>
      </c>
      <c r="E13" s="115">
        <f>IFERROR(VLOOKUP($C13,Data!$A97:$H98,7,),0)</f>
        <v>4.2</v>
      </c>
      <c r="F13" s="116">
        <f>$E13/$D$5</f>
        <v>0.15</v>
      </c>
      <c r="G13" s="116">
        <f>IFERROR(VLOOKUP($C13,Data!$A97:$H98,5,),0)*E13</f>
        <v>4.2</v>
      </c>
      <c r="H13" s="117">
        <f>IFERROR(VLOOKUP($C13,Data!$A97:$H97,6,),0)</f>
        <v>929</v>
      </c>
      <c r="I13" s="118"/>
      <c r="J13" s="119">
        <f>+(H13-(H13*I13))*E13</f>
        <v>3901.8</v>
      </c>
      <c r="K13" s="130" t="s">
        <v>224</v>
      </c>
    </row>
    <row r="14" spans="1:21" ht="20.399999999999999" customHeight="1" x14ac:dyDescent="0.5">
      <c r="A14" s="111"/>
      <c r="B14" s="120" t="s">
        <v>222</v>
      </c>
      <c r="C14" s="121" t="s">
        <v>218</v>
      </c>
      <c r="D14" s="114" t="s">
        <v>223</v>
      </c>
      <c r="E14" s="115">
        <f>IFERROR(VLOOKUP($C14,Data!$A108:$H112,7,),0)</f>
        <v>0.55650000000000011</v>
      </c>
      <c r="F14" s="116">
        <f>$E14/$D$5</f>
        <v>1.9875000000000004E-2</v>
      </c>
      <c r="G14" s="116">
        <f>IFERROR(VLOOKUP($C14,Data!$A108:$H112,5,),0)*E14</f>
        <v>12.799500000000002</v>
      </c>
      <c r="H14" s="117">
        <f>IFERROR(VLOOKUP($C14,Data!$A108:$H112,6,),0)</f>
        <v>1250</v>
      </c>
      <c r="I14" s="118"/>
      <c r="J14" s="119">
        <f>+(H14-(H14*I14))*E14</f>
        <v>695.62500000000011</v>
      </c>
      <c r="K14" s="131"/>
    </row>
    <row r="15" spans="1:21" ht="20.399999999999999" thickBot="1" x14ac:dyDescent="0.55000000000000004">
      <c r="A15" s="49"/>
      <c r="B15" s="70"/>
      <c r="C15" s="53"/>
      <c r="D15" s="13"/>
      <c r="E15" s="13"/>
      <c r="F15" s="13"/>
      <c r="G15" s="13"/>
      <c r="H15" s="13"/>
      <c r="I15" s="13" t="s">
        <v>45</v>
      </c>
      <c r="J15" s="13"/>
      <c r="K15" s="39"/>
    </row>
    <row r="16" spans="1:21" ht="21" thickBot="1" x14ac:dyDescent="0.6">
      <c r="A16" s="14" t="s">
        <v>8</v>
      </c>
      <c r="E16" s="15"/>
      <c r="F16" s="99" t="s">
        <v>75</v>
      </c>
      <c r="G16" s="100">
        <f>SUM(G9:G15)</f>
        <v>467.18699999999995</v>
      </c>
      <c r="H16" s="99" t="s">
        <v>78</v>
      </c>
      <c r="I16" s="101"/>
      <c r="J16" s="102">
        <f>SUM($J9:$J15)</f>
        <v>14005.740000000002</v>
      </c>
      <c r="K16" s="40"/>
      <c r="L16" s="4"/>
    </row>
    <row r="17" spans="1:12" ht="20.399999999999999" x14ac:dyDescent="0.55000000000000004">
      <c r="B17" s="14"/>
      <c r="E17" s="15"/>
      <c r="F17" s="99" t="s">
        <v>76</v>
      </c>
      <c r="G17" s="100">
        <f>$G$16/$D$5</f>
        <v>16.68525</v>
      </c>
      <c r="H17" s="99" t="s">
        <v>74</v>
      </c>
      <c r="I17" s="101"/>
      <c r="J17" s="103">
        <f>$J$16/$D$5</f>
        <v>500.20500000000004</v>
      </c>
      <c r="K17" s="6"/>
      <c r="L17" s="4"/>
    </row>
    <row r="18" spans="1:12" x14ac:dyDescent="0.5">
      <c r="A18" s="24" t="s">
        <v>21</v>
      </c>
    </row>
    <row r="19" spans="1:12" ht="21" x14ac:dyDescent="0.6">
      <c r="A19" s="23" t="s">
        <v>22</v>
      </c>
      <c r="I19" s="84"/>
    </row>
    <row r="20" spans="1:12" ht="21" x14ac:dyDescent="0.6">
      <c r="A20" s="23" t="s">
        <v>72</v>
      </c>
    </row>
    <row r="21" spans="1:12" ht="21" x14ac:dyDescent="0.6">
      <c r="A21" s="23" t="s">
        <v>24</v>
      </c>
    </row>
  </sheetData>
  <mergeCells count="8">
    <mergeCell ref="K13:K14"/>
    <mergeCell ref="B3:K3"/>
    <mergeCell ref="B1:K1"/>
    <mergeCell ref="B8:C8"/>
    <mergeCell ref="A7:C7"/>
    <mergeCell ref="A6:C6"/>
    <mergeCell ref="A5:C5"/>
    <mergeCell ref="A4:C4"/>
  </mergeCells>
  <pageMargins left="0.28999999999999998" right="0.15748031496062992" top="0.39370078740157483" bottom="0.39370078740157483" header="0.51181102362204722" footer="0.51181102362204722"/>
  <pageSetup paperSize="9" scale="7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Data!$A$2:$A$3</xm:f>
          </x14:formula1>
          <xm:sqref>C9</xm:sqref>
        </x14:dataValidation>
        <x14:dataValidation type="list" allowBlank="1" showInputMessage="1" showErrorMessage="1">
          <x14:formula1>
            <xm:f>Data!$A$94:$A$96</xm:f>
          </x14:formula1>
          <xm:sqref>C12</xm:sqref>
        </x14:dataValidation>
        <x14:dataValidation type="list" allowBlank="1" showInputMessage="1" showErrorMessage="1">
          <x14:formula1>
            <xm:f>Data!$A$108:$A$112</xm:f>
          </x14:formula1>
          <xm:sqref>C14</xm:sqref>
        </x14:dataValidation>
        <x14:dataValidation type="list" allowBlank="1" showInputMessage="1" showErrorMessage="1">
          <x14:formula1>
            <xm:f>Data!$A$90:$A$92</xm:f>
          </x14:formula1>
          <xm:sqref>C11</xm:sqref>
        </x14:dataValidation>
        <x14:dataValidation type="list" allowBlank="1" showInputMessage="1" showErrorMessage="1">
          <x14:formula1>
            <xm:f>Data!$A$97:$A$98</xm:f>
          </x14:formula1>
          <xm:sqref>C13</xm:sqref>
        </x14:dataValidation>
        <x14:dataValidation type="list" allowBlank="1" showInputMessage="1" showErrorMessage="1">
          <x14:formula1>
            <xm:f>Data!$A$49:$A$66</xm:f>
          </x14:formula1>
          <xm:sqref>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3"/>
  <sheetViews>
    <sheetView zoomScale="130" zoomScaleNormal="130" workbookViewId="0">
      <selection activeCell="A66" sqref="A66"/>
    </sheetView>
  </sheetViews>
  <sheetFormatPr defaultRowHeight="19.8" x14ac:dyDescent="0.5"/>
  <cols>
    <col min="1" max="1" width="41.5" bestFit="1" customWidth="1"/>
    <col min="6" max="6" width="9.375" style="72"/>
    <col min="7" max="7" width="13.125" style="73" bestFit="1" customWidth="1"/>
    <col min="8" max="8" width="13.125" style="73" customWidth="1"/>
    <col min="9" max="9" width="16.5" style="80" bestFit="1" customWidth="1"/>
    <col min="10" max="10" width="13.125" customWidth="1"/>
  </cols>
  <sheetData>
    <row r="1" spans="1:9" ht="20.399999999999999" x14ac:dyDescent="0.55000000000000004">
      <c r="A1" s="123" t="s">
        <v>230</v>
      </c>
      <c r="E1" t="s">
        <v>82</v>
      </c>
      <c r="F1" s="71" t="s">
        <v>79</v>
      </c>
      <c r="G1" s="73" t="s">
        <v>83</v>
      </c>
      <c r="H1" s="73" t="s">
        <v>84</v>
      </c>
    </row>
    <row r="2" spans="1:9" x14ac:dyDescent="0.5">
      <c r="A2" t="s">
        <v>234</v>
      </c>
      <c r="E2">
        <v>25</v>
      </c>
      <c r="F2" s="72">
        <v>250</v>
      </c>
      <c r="G2" s="79">
        <f>(((ROUNDUP((((Gyplyner!$J$4*Gyplyner!$J$5)/6)),2)))*(1+Gyplyner!$J$7))</f>
        <v>4.9035000000000002</v>
      </c>
      <c r="H2" s="73">
        <f>G2*E2</f>
        <v>122.58750000000001</v>
      </c>
      <c r="I2" s="81" t="s">
        <v>231</v>
      </c>
    </row>
    <row r="3" spans="1:9" x14ac:dyDescent="0.5">
      <c r="G3" s="79"/>
      <c r="I3" s="81"/>
    </row>
    <row r="4" spans="1:9" ht="20.399999999999999" x14ac:dyDescent="0.55000000000000004">
      <c r="A4" s="75" t="s">
        <v>103</v>
      </c>
      <c r="B4" t="s">
        <v>80</v>
      </c>
      <c r="C4" t="s">
        <v>81</v>
      </c>
      <c r="E4" t="s">
        <v>82</v>
      </c>
      <c r="G4" s="73" t="s">
        <v>83</v>
      </c>
    </row>
    <row r="5" spans="1:9" x14ac:dyDescent="0.5">
      <c r="A5" t="s">
        <v>104</v>
      </c>
      <c r="B5">
        <v>3000</v>
      </c>
      <c r="C5">
        <v>51</v>
      </c>
      <c r="E5">
        <v>1.32</v>
      </c>
      <c r="F5" s="72">
        <v>105</v>
      </c>
      <c r="I5" s="81" t="s">
        <v>156</v>
      </c>
    </row>
    <row r="6" spans="1:9" x14ac:dyDescent="0.5">
      <c r="A6" t="s">
        <v>105</v>
      </c>
      <c r="B6">
        <v>3000</v>
      </c>
      <c r="C6">
        <v>64</v>
      </c>
      <c r="E6">
        <v>1.47</v>
      </c>
      <c r="F6" s="72">
        <v>120</v>
      </c>
      <c r="I6" s="81" t="s">
        <v>157</v>
      </c>
    </row>
    <row r="7" spans="1:9" x14ac:dyDescent="0.5">
      <c r="A7" t="s">
        <v>106</v>
      </c>
      <c r="B7">
        <v>3000</v>
      </c>
      <c r="C7">
        <v>76</v>
      </c>
      <c r="E7">
        <v>1.6</v>
      </c>
      <c r="F7" s="72">
        <v>130</v>
      </c>
      <c r="I7" s="81" t="s">
        <v>158</v>
      </c>
    </row>
    <row r="8" spans="1:9" x14ac:dyDescent="0.5">
      <c r="A8" t="s">
        <v>107</v>
      </c>
      <c r="B8">
        <v>3000</v>
      </c>
      <c r="C8">
        <v>94</v>
      </c>
      <c r="E8">
        <v>1.82</v>
      </c>
      <c r="F8" s="72">
        <v>145</v>
      </c>
      <c r="I8" s="81" t="s">
        <v>159</v>
      </c>
    </row>
    <row r="10" spans="1:9" ht="20.399999999999999" x14ac:dyDescent="0.55000000000000004">
      <c r="A10" s="75" t="s">
        <v>96</v>
      </c>
      <c r="B10" t="s">
        <v>80</v>
      </c>
      <c r="C10" t="s">
        <v>81</v>
      </c>
      <c r="D10" s="76" t="s">
        <v>109</v>
      </c>
      <c r="E10" t="s">
        <v>82</v>
      </c>
      <c r="G10" s="73" t="s">
        <v>83</v>
      </c>
    </row>
    <row r="11" spans="1:9" x14ac:dyDescent="0.5">
      <c r="A11" s="76" t="s">
        <v>138</v>
      </c>
      <c r="B11">
        <v>4000</v>
      </c>
      <c r="C11" s="77" t="s">
        <v>140</v>
      </c>
      <c r="D11">
        <v>0.5</v>
      </c>
      <c r="E11">
        <v>1.4</v>
      </c>
      <c r="F11" s="72">
        <v>155</v>
      </c>
      <c r="G11" s="79" t="e">
        <f>(((ROUNDUP((((Gyplyner!$J$4-0.6)/Gyplyner!$J$6)),))+1)*Gyplyner!$J$5/($B11/1000))*(1+Gyplyner!$J$7)</f>
        <v>#DIV/0!</v>
      </c>
      <c r="I11" s="81" t="s">
        <v>160</v>
      </c>
    </row>
    <row r="12" spans="1:9" x14ac:dyDescent="0.5">
      <c r="A12" s="76" t="s">
        <v>86</v>
      </c>
      <c r="B12">
        <v>4000</v>
      </c>
      <c r="C12" s="77" t="s">
        <v>141</v>
      </c>
      <c r="D12">
        <v>0.5</v>
      </c>
      <c r="E12">
        <v>1.0900000000000001</v>
      </c>
      <c r="F12" s="72">
        <v>98</v>
      </c>
      <c r="G12" s="79" t="e">
        <f>(((ROUNDUP((((Gyplyner!$J$4-0.6)/Gyplyner!$J$6)),))+1)*Gyplyner!$J$5/($B12/1000))*(1+Gyplyner!$J$7)</f>
        <v>#DIV/0!</v>
      </c>
      <c r="I12" s="81" t="s">
        <v>161</v>
      </c>
    </row>
    <row r="13" spans="1:9" x14ac:dyDescent="0.5">
      <c r="A13" s="76" t="s">
        <v>139</v>
      </c>
      <c r="B13">
        <v>4000</v>
      </c>
      <c r="C13" s="77" t="s">
        <v>142</v>
      </c>
      <c r="D13">
        <v>0.4</v>
      </c>
      <c r="E13">
        <v>0.77</v>
      </c>
      <c r="F13" s="72">
        <v>67</v>
      </c>
      <c r="G13" s="79" t="e">
        <f>(((ROUNDUP((((Gyplyner!$J$4-0.6)/Gyplyner!$J$6)),))+1)*Gyplyner!$J$5/($B13/1000))*(1+Gyplyner!$J$7)</f>
        <v>#DIV/0!</v>
      </c>
      <c r="I13" s="81" t="s">
        <v>162</v>
      </c>
    </row>
    <row r="14" spans="1:9" x14ac:dyDescent="0.5">
      <c r="A14" s="76"/>
      <c r="C14" s="77"/>
      <c r="G14" s="79"/>
    </row>
    <row r="15" spans="1:9" ht="20.399999999999999" x14ac:dyDescent="0.55000000000000004">
      <c r="A15" s="75" t="s">
        <v>95</v>
      </c>
      <c r="B15" t="s">
        <v>80</v>
      </c>
      <c r="C15" t="s">
        <v>81</v>
      </c>
      <c r="D15" s="76" t="s">
        <v>109</v>
      </c>
      <c r="E15" t="s">
        <v>82</v>
      </c>
      <c r="G15" s="73" t="s">
        <v>83</v>
      </c>
    </row>
    <row r="16" spans="1:9" x14ac:dyDescent="0.5">
      <c r="A16" s="76" t="s">
        <v>138</v>
      </c>
      <c r="B16">
        <v>4000</v>
      </c>
      <c r="C16" s="77" t="s">
        <v>140</v>
      </c>
      <c r="D16">
        <v>0.5</v>
      </c>
      <c r="E16">
        <v>1.4</v>
      </c>
      <c r="F16" s="72">
        <v>155</v>
      </c>
      <c r="G16" s="79" t="e">
        <f>(((ROUNDUP((Gyplyner!$J$5/Gyplyner!$I$6),))+1)*Gyplyner!$J$4/($B16/1000))*(1+Gyplyner!$J$7)</f>
        <v>#DIV/0!</v>
      </c>
      <c r="I16" s="81" t="s">
        <v>160</v>
      </c>
    </row>
    <row r="17" spans="1:9" x14ac:dyDescent="0.5">
      <c r="A17" s="76" t="s">
        <v>86</v>
      </c>
      <c r="B17">
        <v>4000</v>
      </c>
      <c r="C17" s="77" t="s">
        <v>141</v>
      </c>
      <c r="D17">
        <v>0.5</v>
      </c>
      <c r="E17">
        <v>1.0900000000000001</v>
      </c>
      <c r="F17" s="72">
        <v>98</v>
      </c>
      <c r="G17" s="79" t="e">
        <f>(((ROUNDUP((Gyplyner!$J$5/Gyplyner!$I$6),))+1)*Gyplyner!$J$4/($B17/1000))*(1+Gyplyner!$J$7)</f>
        <v>#DIV/0!</v>
      </c>
      <c r="I17" s="81" t="s">
        <v>161</v>
      </c>
    </row>
    <row r="18" spans="1:9" x14ac:dyDescent="0.5">
      <c r="A18" s="76" t="s">
        <v>139</v>
      </c>
      <c r="B18">
        <v>4000</v>
      </c>
      <c r="C18" s="77" t="s">
        <v>142</v>
      </c>
      <c r="D18">
        <v>0.4</v>
      </c>
      <c r="E18">
        <v>0.77</v>
      </c>
      <c r="F18" s="72">
        <v>67</v>
      </c>
      <c r="G18" s="79" t="e">
        <f>(((ROUNDUP((Gyplyner!$J$5/Gyplyner!$I$6),))+1)*Gyplyner!$J$4/($B18/1000))*(1+Gyplyner!$J$7)</f>
        <v>#DIV/0!</v>
      </c>
      <c r="I18" s="81" t="s">
        <v>162</v>
      </c>
    </row>
    <row r="20" spans="1:9" ht="20.399999999999999" x14ac:dyDescent="0.55000000000000004">
      <c r="A20" s="75" t="s">
        <v>99</v>
      </c>
      <c r="B20" t="s">
        <v>80</v>
      </c>
      <c r="C20" t="s">
        <v>81</v>
      </c>
      <c r="D20" s="76" t="s">
        <v>109</v>
      </c>
      <c r="E20" t="s">
        <v>82</v>
      </c>
      <c r="G20" s="73" t="s">
        <v>83</v>
      </c>
    </row>
    <row r="21" spans="1:9" x14ac:dyDescent="0.5">
      <c r="A21" s="76" t="s">
        <v>145</v>
      </c>
      <c r="B21">
        <v>115</v>
      </c>
      <c r="C21">
        <v>45</v>
      </c>
      <c r="D21">
        <v>0.5</v>
      </c>
      <c r="E21">
        <v>0.18</v>
      </c>
      <c r="F21" s="72">
        <v>5.5</v>
      </c>
      <c r="G21" s="79" t="e">
        <f>ROUNDUP(Gyplyner!$D$5/(Gyplyner!$J$6*Gyplyner!$I$6),)*(1+Gyplyner!$J$7)</f>
        <v>#DIV/0!</v>
      </c>
      <c r="I21" s="81" t="s">
        <v>163</v>
      </c>
    </row>
    <row r="22" spans="1:9" x14ac:dyDescent="0.5">
      <c r="A22" s="76" t="s">
        <v>98</v>
      </c>
      <c r="B22">
        <v>90</v>
      </c>
      <c r="C22">
        <v>35</v>
      </c>
      <c r="D22">
        <v>0.5</v>
      </c>
      <c r="E22">
        <v>0.02</v>
      </c>
      <c r="F22" s="72">
        <v>3.75</v>
      </c>
      <c r="G22" s="79" t="e">
        <f>ROUNDUP(Gyplyner!$D$5/(Gyplyner!$J$6*Gyplyner!$I$6),)*(1+Gyplyner!$J$7)</f>
        <v>#DIV/0!</v>
      </c>
      <c r="I22" s="81" t="s">
        <v>164</v>
      </c>
    </row>
    <row r="23" spans="1:9" x14ac:dyDescent="0.5">
      <c r="A23" s="76" t="s">
        <v>146</v>
      </c>
      <c r="B23">
        <v>80</v>
      </c>
      <c r="C23">
        <v>35</v>
      </c>
      <c r="D23">
        <v>0.4</v>
      </c>
      <c r="E23">
        <v>0.01</v>
      </c>
      <c r="F23" s="72">
        <v>1.75</v>
      </c>
      <c r="G23" s="79" t="e">
        <f>ROUNDUP(Gyplyner!$D$5/(Gyplyner!$J$6*Gyplyner!$I$6),)*(1+Gyplyner!$J$7)</f>
        <v>#DIV/0!</v>
      </c>
      <c r="I23" s="81" t="s">
        <v>165</v>
      </c>
    </row>
    <row r="25" spans="1:9" ht="20.399999999999999" x14ac:dyDescent="0.55000000000000004">
      <c r="A25" s="75" t="s">
        <v>92</v>
      </c>
      <c r="B25" t="s">
        <v>80</v>
      </c>
      <c r="C25" t="s">
        <v>81</v>
      </c>
      <c r="D25" s="76" t="s">
        <v>109</v>
      </c>
      <c r="E25" t="s">
        <v>82</v>
      </c>
      <c r="G25" s="73" t="s">
        <v>83</v>
      </c>
    </row>
    <row r="26" spans="1:9" x14ac:dyDescent="0.5">
      <c r="A26" s="76" t="s">
        <v>147</v>
      </c>
      <c r="B26">
        <v>90</v>
      </c>
      <c r="C26" s="77" t="s">
        <v>148</v>
      </c>
      <c r="D26">
        <v>0.5</v>
      </c>
      <c r="E26">
        <v>0.03</v>
      </c>
      <c r="F26" s="72">
        <v>8</v>
      </c>
      <c r="G26" s="73" t="e">
        <f>(ROUNDUP((ROUNDUP(Gyplyner!$J$4/4,)*Gyplyner!$E$9),))+(ROUNDUP((ROUNDUP(Gyplyner!$J$5/4,)*Gyplyner!#REF!),))*(1+Gyplyner!$J$7)</f>
        <v>#REF!</v>
      </c>
      <c r="I26" s="81" t="s">
        <v>166</v>
      </c>
    </row>
    <row r="27" spans="1:9" x14ac:dyDescent="0.5">
      <c r="A27" s="76" t="s">
        <v>93</v>
      </c>
      <c r="B27">
        <v>90</v>
      </c>
      <c r="C27" s="77" t="s">
        <v>149</v>
      </c>
      <c r="D27">
        <v>0.5</v>
      </c>
      <c r="E27">
        <v>0.03</v>
      </c>
      <c r="F27" s="72">
        <v>5.5</v>
      </c>
      <c r="G27" s="73" t="e">
        <f>(ROUNDUP((ROUNDUP(Gyplyner!$J$4/4,)*Gyplyner!$E$9),))+(ROUNDUP((ROUNDUP(Gyplyner!$J$5/4,)*Gyplyner!#REF!),))*(1+Gyplyner!$J$7)</f>
        <v>#REF!</v>
      </c>
      <c r="I27" s="81" t="s">
        <v>167</v>
      </c>
    </row>
    <row r="29" spans="1:9" ht="20.399999999999999" x14ac:dyDescent="0.55000000000000004">
      <c r="A29" s="75" t="s">
        <v>150</v>
      </c>
      <c r="B29" t="s">
        <v>80</v>
      </c>
      <c r="C29" t="s">
        <v>81</v>
      </c>
      <c r="D29" s="76" t="s">
        <v>109</v>
      </c>
      <c r="E29" t="s">
        <v>82</v>
      </c>
      <c r="G29" s="73" t="s">
        <v>83</v>
      </c>
    </row>
    <row r="30" spans="1:9" x14ac:dyDescent="0.5">
      <c r="A30" s="76" t="s">
        <v>151</v>
      </c>
      <c r="B30">
        <v>205</v>
      </c>
      <c r="C30">
        <v>26</v>
      </c>
      <c r="D30">
        <v>4</v>
      </c>
      <c r="E30">
        <v>0.08</v>
      </c>
      <c r="F30" s="72">
        <v>4</v>
      </c>
      <c r="G30" s="79" t="e">
        <f>(ROUNDUP(Gyplyner!$D$5/(Gyplyner!$J$6*Gyplyner!$J$6),))*(1+Gyplyner!$J$7)</f>
        <v>#DIV/0!</v>
      </c>
      <c r="I30" s="81" t="s">
        <v>168</v>
      </c>
    </row>
    <row r="31" spans="1:9" x14ac:dyDescent="0.5">
      <c r="A31" s="76" t="s">
        <v>87</v>
      </c>
      <c r="B31">
        <v>200</v>
      </c>
      <c r="C31">
        <v>22</v>
      </c>
      <c r="D31">
        <v>4</v>
      </c>
      <c r="E31">
        <v>0.05</v>
      </c>
      <c r="F31" s="72">
        <v>4</v>
      </c>
      <c r="G31" s="79" t="e">
        <f>(ROUNDUP(Gyplyner!$D$5/(Gyplyner!$J$6*Gyplyner!$J$6),))*(1+Gyplyner!$J$7)</f>
        <v>#DIV/0!</v>
      </c>
      <c r="I31" s="81" t="s">
        <v>169</v>
      </c>
    </row>
    <row r="32" spans="1:9" x14ac:dyDescent="0.5">
      <c r="A32" s="76" t="s">
        <v>152</v>
      </c>
      <c r="B32">
        <v>200</v>
      </c>
      <c r="D32">
        <v>4</v>
      </c>
      <c r="E32">
        <v>0.05</v>
      </c>
      <c r="F32" s="72">
        <v>4</v>
      </c>
      <c r="G32" s="79" t="e">
        <f>(ROUNDUP(Gyplyner!$D$5/(Gyplyner!$J$6*Gyplyner!$J$6),))*(1+Gyplyner!$J$7)</f>
        <v>#DIV/0!</v>
      </c>
      <c r="I32" s="81" t="s">
        <v>170</v>
      </c>
    </row>
    <row r="33" spans="1:9" x14ac:dyDescent="0.5">
      <c r="A33" s="76" t="s">
        <v>200</v>
      </c>
      <c r="B33">
        <v>190</v>
      </c>
      <c r="C33">
        <v>29.5</v>
      </c>
      <c r="D33">
        <v>0.7</v>
      </c>
      <c r="E33">
        <v>0.03</v>
      </c>
      <c r="F33" s="72">
        <v>8.5</v>
      </c>
      <c r="G33" s="79" t="e">
        <f>(ROUNDUP(Gyplyner!$D$5/(Gyplyner!$J$6*Gyplyner!$J$6),))*(1+Gyplyner!$J$7)</f>
        <v>#DIV/0!</v>
      </c>
      <c r="I33" s="81" t="s">
        <v>201</v>
      </c>
    </row>
    <row r="35" spans="1:9" ht="20.399999999999999" x14ac:dyDescent="0.55000000000000004">
      <c r="A35" s="75" t="s">
        <v>88</v>
      </c>
      <c r="B35" t="s">
        <v>80</v>
      </c>
      <c r="C35" t="s">
        <v>81</v>
      </c>
      <c r="D35" s="76" t="s">
        <v>109</v>
      </c>
      <c r="E35" t="s">
        <v>82</v>
      </c>
      <c r="G35" s="73" t="s">
        <v>83</v>
      </c>
    </row>
    <row r="36" spans="1:9" x14ac:dyDescent="0.5">
      <c r="A36" s="76" t="s">
        <v>88</v>
      </c>
      <c r="B36">
        <v>25</v>
      </c>
      <c r="C36">
        <v>25</v>
      </c>
      <c r="E36">
        <v>1.7999999999999999E-2</v>
      </c>
      <c r="F36" s="72">
        <v>2.25</v>
      </c>
      <c r="G36" s="79" t="e">
        <f>(ROUNDUP(Gyplyner!$D$5/(Gyplyner!$J$6*Gyplyner!$J$6),))*(1+Gyplyner!$J$7)</f>
        <v>#DIV/0!</v>
      </c>
      <c r="I36" s="81" t="s">
        <v>171</v>
      </c>
    </row>
    <row r="38" spans="1:9" ht="20.399999999999999" x14ac:dyDescent="0.55000000000000004">
      <c r="A38" s="75" t="s">
        <v>89</v>
      </c>
      <c r="B38" t="s">
        <v>80</v>
      </c>
      <c r="C38" t="s">
        <v>81</v>
      </c>
      <c r="D38" s="76" t="s">
        <v>109</v>
      </c>
      <c r="E38" t="s">
        <v>82</v>
      </c>
      <c r="G38" s="73" t="s">
        <v>83</v>
      </c>
    </row>
    <row r="39" spans="1:9" x14ac:dyDescent="0.5">
      <c r="A39" s="76" t="s">
        <v>90</v>
      </c>
      <c r="B39">
        <v>90</v>
      </c>
      <c r="C39">
        <v>19</v>
      </c>
      <c r="E39">
        <v>8.9999999999999993E-3</v>
      </c>
      <c r="F39" s="72">
        <v>6</v>
      </c>
      <c r="G39" s="79" t="e">
        <f>(ROUNDUP(Gyplyner!$D$5/(Gyplyner!$J$6*Gyplyner!$J$6),))*(1+Gyplyner!$J$7)</f>
        <v>#DIV/0!</v>
      </c>
      <c r="I39" s="81" t="s">
        <v>172</v>
      </c>
    </row>
    <row r="41" spans="1:9" ht="20.399999999999999" x14ac:dyDescent="0.55000000000000004">
      <c r="A41" s="75" t="s">
        <v>91</v>
      </c>
      <c r="B41" t="s">
        <v>80</v>
      </c>
      <c r="C41" t="s">
        <v>81</v>
      </c>
      <c r="D41" s="76" t="s">
        <v>109</v>
      </c>
      <c r="E41" t="s">
        <v>82</v>
      </c>
      <c r="G41" s="73" t="s">
        <v>83</v>
      </c>
    </row>
    <row r="42" spans="1:9" x14ac:dyDescent="0.5">
      <c r="A42" s="76" t="s">
        <v>153</v>
      </c>
      <c r="B42">
        <v>3000</v>
      </c>
      <c r="D42">
        <v>4</v>
      </c>
      <c r="E42">
        <v>0.3</v>
      </c>
      <c r="F42" s="72">
        <v>20</v>
      </c>
      <c r="G42" s="73" t="e">
        <f>((ROUNDUP(Gyplyner!$D$5/(Gyplyner!$J$6*Gyplyner!$J$6),))*Gyplyner!$D$7/($B42/1000))*(1+Gyplyner!$J$7)</f>
        <v>#DIV/0!</v>
      </c>
      <c r="I42" s="81" t="s">
        <v>173</v>
      </c>
    </row>
    <row r="44" spans="1:9" ht="20.399999999999999" x14ac:dyDescent="0.55000000000000004">
      <c r="A44" s="75" t="s">
        <v>85</v>
      </c>
      <c r="B44" t="s">
        <v>80</v>
      </c>
      <c r="C44" t="s">
        <v>81</v>
      </c>
      <c r="E44" t="s">
        <v>82</v>
      </c>
    </row>
    <row r="45" spans="1:9" x14ac:dyDescent="0.5">
      <c r="A45" s="76" t="s">
        <v>202</v>
      </c>
      <c r="B45">
        <v>2400</v>
      </c>
      <c r="C45" s="77" t="s">
        <v>203</v>
      </c>
      <c r="D45">
        <v>0.5</v>
      </c>
      <c r="E45">
        <v>0.56999999999999995</v>
      </c>
      <c r="F45" s="72">
        <v>55</v>
      </c>
      <c r="G45" s="73">
        <f>(ROUNDUP(((Gyplyner!$J$4+Gyplyner!$J$5)*2)/($B45/1000),))*(1+Gyplyner!$J$7)</f>
        <v>11.55</v>
      </c>
      <c r="I45" s="81" t="s">
        <v>204</v>
      </c>
    </row>
    <row r="46" spans="1:9" x14ac:dyDescent="0.5">
      <c r="A46" s="76" t="s">
        <v>143</v>
      </c>
      <c r="B46">
        <v>2400</v>
      </c>
      <c r="C46" s="77" t="s">
        <v>144</v>
      </c>
      <c r="D46">
        <v>0.5</v>
      </c>
      <c r="E46">
        <v>0.43</v>
      </c>
      <c r="F46" s="72">
        <v>36</v>
      </c>
      <c r="G46" s="73">
        <f>(ROUNDUP(((Gyplyner!$J$4+Gyplyner!$J$5)*2)/($B46/1000),))*(1+Gyplyner!$J$7)</f>
        <v>11.55</v>
      </c>
      <c r="I46" s="81" t="s">
        <v>174</v>
      </c>
    </row>
    <row r="48" spans="1:9" ht="20.399999999999999" x14ac:dyDescent="0.55000000000000004">
      <c r="A48" s="75" t="s">
        <v>108</v>
      </c>
      <c r="B48" t="s">
        <v>80</v>
      </c>
      <c r="C48" t="s">
        <v>81</v>
      </c>
      <c r="D48" t="s">
        <v>109</v>
      </c>
      <c r="E48" t="s">
        <v>82</v>
      </c>
      <c r="G48" s="73" t="s">
        <v>83</v>
      </c>
    </row>
    <row r="49" spans="1:9" x14ac:dyDescent="0.5">
      <c r="A49" s="76" t="s">
        <v>110</v>
      </c>
      <c r="B49">
        <v>2400</v>
      </c>
      <c r="C49">
        <v>1200</v>
      </c>
      <c r="D49">
        <v>12</v>
      </c>
      <c r="E49">
        <v>23.04</v>
      </c>
      <c r="F49" s="72">
        <v>268</v>
      </c>
      <c r="G49" s="73">
        <f>ROUNDUP((Gyplyner!$D$5/($B49/1000*$C49/1000)),)*(1+Gyplyner!$J$7)</f>
        <v>10.5</v>
      </c>
      <c r="I49" s="81" t="s">
        <v>175</v>
      </c>
    </row>
    <row r="50" spans="1:9" x14ac:dyDescent="0.5">
      <c r="A50" s="76" t="s">
        <v>111</v>
      </c>
      <c r="B50">
        <v>2400</v>
      </c>
      <c r="C50">
        <v>1200</v>
      </c>
      <c r="D50">
        <v>15</v>
      </c>
      <c r="E50">
        <v>32</v>
      </c>
      <c r="F50" s="72">
        <v>379</v>
      </c>
      <c r="G50" s="73">
        <f>ROUNDUP((Gyplyner!$D$5/($B50/1000*$C50/1000)),)*(1+Gyplyner!$J$7)</f>
        <v>10.5</v>
      </c>
      <c r="I50" s="81" t="s">
        <v>176</v>
      </c>
    </row>
    <row r="52" spans="1:9" x14ac:dyDescent="0.5">
      <c r="A52" s="76" t="s">
        <v>112</v>
      </c>
      <c r="B52">
        <v>2400</v>
      </c>
      <c r="C52">
        <v>1200</v>
      </c>
      <c r="D52">
        <v>13</v>
      </c>
      <c r="E52">
        <v>33.119999999999997</v>
      </c>
      <c r="F52" s="72">
        <v>495</v>
      </c>
      <c r="G52" s="73">
        <f>ROUNDUP((Gyplyner!$D$5/($B52/1000*$C52/1000)),)*(1+Gyplyner!$J$7)</f>
        <v>10.5</v>
      </c>
      <c r="I52" s="81" t="s">
        <v>178</v>
      </c>
    </row>
    <row r="53" spans="1:9" x14ac:dyDescent="0.5">
      <c r="A53" s="76" t="s">
        <v>206</v>
      </c>
      <c r="B53">
        <v>2400</v>
      </c>
      <c r="C53">
        <v>1200</v>
      </c>
      <c r="D53">
        <v>16</v>
      </c>
      <c r="E53">
        <f>14.5*2.88</f>
        <v>41.76</v>
      </c>
      <c r="F53" s="72">
        <v>532</v>
      </c>
      <c r="G53" s="73">
        <f>ROUNDUP((Gyplyner!$D$5/($B53/1000*$C53/1000)),)*(1+Gyplyner!$J$7)</f>
        <v>10.5</v>
      </c>
      <c r="I53" s="81" t="s">
        <v>211</v>
      </c>
    </row>
    <row r="54" spans="1:9" x14ac:dyDescent="0.5">
      <c r="A54" s="76" t="s">
        <v>212</v>
      </c>
      <c r="B54">
        <v>2400</v>
      </c>
      <c r="C54">
        <v>1200</v>
      </c>
      <c r="D54">
        <v>16</v>
      </c>
      <c r="E54">
        <f>14.5*2.88</f>
        <v>41.76</v>
      </c>
      <c r="F54" s="72">
        <v>605</v>
      </c>
      <c r="G54" s="73">
        <f>ROUNDUP((Gyplyner!$D$5/($B54/1000*$C54/1000)),)*(1+Gyplyner!$J$7)</f>
        <v>10.5</v>
      </c>
      <c r="I54" s="96" t="s">
        <v>207</v>
      </c>
    </row>
    <row r="56" spans="1:9" x14ac:dyDescent="0.5">
      <c r="A56" s="76" t="s">
        <v>113</v>
      </c>
      <c r="B56">
        <v>2400</v>
      </c>
      <c r="C56">
        <v>1200</v>
      </c>
      <c r="D56">
        <v>12.5</v>
      </c>
      <c r="E56">
        <v>34.6</v>
      </c>
      <c r="F56" s="72">
        <v>804</v>
      </c>
      <c r="G56" s="73">
        <f>ROUNDUP((Gyplyner!$D$5/($B56/1000*$C56/1000)),)*(1+Gyplyner!$J$7)</f>
        <v>10.5</v>
      </c>
      <c r="I56" s="81" t="s">
        <v>177</v>
      </c>
    </row>
    <row r="58" spans="1:9" x14ac:dyDescent="0.5">
      <c r="A58" t="s">
        <v>183</v>
      </c>
      <c r="B58">
        <v>2440</v>
      </c>
      <c r="C58">
        <v>1220</v>
      </c>
      <c r="D58">
        <v>12</v>
      </c>
      <c r="E58">
        <v>24.53</v>
      </c>
      <c r="F58" s="74">
        <v>680</v>
      </c>
      <c r="G58" s="73">
        <f>ROUNDUP((Gyplyner!$D$5/($B58/1000*$C58/1000)),)*(1+Gyplyner!$J$7)</f>
        <v>10.5</v>
      </c>
      <c r="I58" s="80" t="s">
        <v>184</v>
      </c>
    </row>
    <row r="60" spans="1:9" x14ac:dyDescent="0.5">
      <c r="A60" t="s">
        <v>114</v>
      </c>
      <c r="B60">
        <v>2400</v>
      </c>
      <c r="C60">
        <v>1200</v>
      </c>
      <c r="D60">
        <v>12.5</v>
      </c>
      <c r="E60">
        <v>30.24</v>
      </c>
      <c r="F60" s="72">
        <v>765</v>
      </c>
      <c r="G60" s="73">
        <f>ROUNDUP((Gyplyner!$D$5/($B60/1000*$C60/1000)),)*(1+Gyplyner!$J$7)</f>
        <v>10.5</v>
      </c>
      <c r="I60" s="81" t="s">
        <v>179</v>
      </c>
    </row>
    <row r="62" spans="1:9" x14ac:dyDescent="0.5">
      <c r="A62" t="s">
        <v>115</v>
      </c>
      <c r="B62">
        <v>2400</v>
      </c>
      <c r="C62">
        <v>1200</v>
      </c>
      <c r="D62">
        <v>12</v>
      </c>
      <c r="E62">
        <v>25.52</v>
      </c>
      <c r="F62" s="72">
        <v>395</v>
      </c>
      <c r="G62" s="73">
        <f>ROUNDUP((Gyplyner!$D$5/($B62/1000*$C62/1000)),)*(1+Gyplyner!$J$7)</f>
        <v>10.5</v>
      </c>
      <c r="I62" s="80" t="s">
        <v>180</v>
      </c>
    </row>
    <row r="64" spans="1:9" x14ac:dyDescent="0.5">
      <c r="A64" t="s">
        <v>116</v>
      </c>
      <c r="B64">
        <v>2400</v>
      </c>
      <c r="C64">
        <v>1200</v>
      </c>
      <c r="D64">
        <v>13</v>
      </c>
      <c r="E64">
        <v>29.25</v>
      </c>
      <c r="F64" s="72">
        <v>446</v>
      </c>
      <c r="G64" s="73">
        <f>ROUNDUP((Gyplyner!$D$5/($B64/1000*$C64/1000)),)*(1+Gyplyner!$J$7)</f>
        <v>10.5</v>
      </c>
      <c r="I64" s="80" t="s">
        <v>181</v>
      </c>
    </row>
    <row r="65" spans="1:9" x14ac:dyDescent="0.5">
      <c r="A65" t="s">
        <v>117</v>
      </c>
      <c r="B65">
        <v>2400</v>
      </c>
      <c r="C65">
        <v>1200</v>
      </c>
      <c r="D65">
        <v>16</v>
      </c>
      <c r="E65">
        <v>36.92</v>
      </c>
      <c r="F65" s="72">
        <v>500</v>
      </c>
      <c r="G65" s="73">
        <f>ROUNDUP((Gyplyner!$D$5/($B65/1000*$C65/1000)),)*(1+Gyplyner!$J$7)</f>
        <v>10.5</v>
      </c>
      <c r="I65" s="80" t="s">
        <v>182</v>
      </c>
    </row>
    <row r="67" spans="1:9" ht="20.399999999999999" x14ac:dyDescent="0.55000000000000004">
      <c r="A67" s="75" t="s">
        <v>118</v>
      </c>
      <c r="B67" t="s">
        <v>80</v>
      </c>
      <c r="E67" t="s">
        <v>82</v>
      </c>
      <c r="G67" s="73" t="s">
        <v>83</v>
      </c>
    </row>
    <row r="68" spans="1:9" x14ac:dyDescent="0.5">
      <c r="A68" t="s">
        <v>97</v>
      </c>
      <c r="B68">
        <v>33</v>
      </c>
      <c r="E68">
        <v>0.01</v>
      </c>
      <c r="F68" s="72">
        <v>2</v>
      </c>
      <c r="G68" s="79" t="e">
        <f>(ROUNDUP(Gyplyner!$D$5/(Gyplyner!$J$6*Gyplyner!$J$6)+(1+(((Gyplyner!$J$5+Gyplyner!$J$4)*2)/0.3)),))*(1+Gyplyner!$J$7)</f>
        <v>#DIV/0!</v>
      </c>
      <c r="I68" s="80" t="s">
        <v>185</v>
      </c>
    </row>
    <row r="70" spans="1:9" ht="20.399999999999999" x14ac:dyDescent="0.55000000000000004">
      <c r="A70" s="123" t="s">
        <v>229</v>
      </c>
      <c r="B70" t="s">
        <v>80</v>
      </c>
      <c r="E70" t="s">
        <v>82</v>
      </c>
      <c r="G70" s="73" t="s">
        <v>83</v>
      </c>
    </row>
    <row r="71" spans="1:9" x14ac:dyDescent="0.5">
      <c r="A71" t="s">
        <v>94</v>
      </c>
      <c r="B71">
        <v>25</v>
      </c>
      <c r="E71">
        <v>1</v>
      </c>
      <c r="F71" s="72">
        <v>95</v>
      </c>
      <c r="G71" s="79">
        <f>(Gyplyner!$D$6/2.88)*40*(1.3/1000)*(1+Gyplyner!$J$7)</f>
        <v>0.53083333333333338</v>
      </c>
      <c r="I71" s="80" t="s">
        <v>186</v>
      </c>
    </row>
    <row r="72" spans="1:9" x14ac:dyDescent="0.5">
      <c r="A72" t="s">
        <v>119</v>
      </c>
      <c r="B72">
        <v>38</v>
      </c>
      <c r="E72">
        <v>1</v>
      </c>
      <c r="F72" s="72">
        <v>115</v>
      </c>
      <c r="G72" s="79">
        <f>(Gyplyner!$D$6/2.88)*40*(1.5/1000)*(1+Gyplyner!$J$7)</f>
        <v>0.61250000000000004</v>
      </c>
      <c r="I72" s="80" t="s">
        <v>187</v>
      </c>
    </row>
    <row r="73" spans="1:9" x14ac:dyDescent="0.5">
      <c r="A73" t="s">
        <v>120</v>
      </c>
      <c r="B73">
        <v>25</v>
      </c>
      <c r="F73" s="72">
        <v>550</v>
      </c>
      <c r="G73" s="79">
        <f>0.03*Gyplyner!$D$6*(1+Gyplyner!$J$7)</f>
        <v>0.88200000000000001</v>
      </c>
      <c r="I73" s="80" t="s">
        <v>188</v>
      </c>
    </row>
    <row r="74" spans="1:9" x14ac:dyDescent="0.5">
      <c r="A74" t="s">
        <v>121</v>
      </c>
      <c r="B74">
        <v>38</v>
      </c>
      <c r="F74" s="72">
        <v>600</v>
      </c>
      <c r="G74" s="79">
        <f>0.03*Gyplyner!$D$6*(1+Gyplyner!$J$7)</f>
        <v>0.88200000000000001</v>
      </c>
      <c r="I74" s="80" t="s">
        <v>189</v>
      </c>
    </row>
    <row r="75" spans="1:9" x14ac:dyDescent="0.5">
      <c r="A75" t="s">
        <v>123</v>
      </c>
      <c r="B75">
        <v>45</v>
      </c>
      <c r="F75" s="72">
        <v>680</v>
      </c>
      <c r="G75" s="79">
        <f>0.03*Gyplyner!$D$6*(1+Gyplyner!$J$7)</f>
        <v>0.88200000000000001</v>
      </c>
      <c r="I75" s="80" t="s">
        <v>190</v>
      </c>
    </row>
    <row r="76" spans="1:9" x14ac:dyDescent="0.5">
      <c r="A76" t="s">
        <v>122</v>
      </c>
      <c r="B76">
        <v>75</v>
      </c>
      <c r="E76">
        <v>1</v>
      </c>
      <c r="F76" s="72">
        <v>115</v>
      </c>
      <c r="G76" s="79">
        <f>(Gyplyner!$D$6/2.88)*40*(2.8/1000)*(1+Gyplyner!$J$7)</f>
        <v>1.1433333333333335</v>
      </c>
      <c r="I76" s="80" t="s">
        <v>191</v>
      </c>
    </row>
    <row r="78" spans="1:9" ht="20.399999999999999" x14ac:dyDescent="0.55000000000000004">
      <c r="A78" s="123" t="s">
        <v>228</v>
      </c>
      <c r="B78" t="s">
        <v>80</v>
      </c>
      <c r="E78" t="s">
        <v>82</v>
      </c>
      <c r="G78" s="73" t="s">
        <v>83</v>
      </c>
    </row>
    <row r="79" spans="1:9" x14ac:dyDescent="0.5">
      <c r="A79" t="s">
        <v>119</v>
      </c>
      <c r="B79">
        <v>38</v>
      </c>
      <c r="E79">
        <v>1</v>
      </c>
      <c r="F79" s="72">
        <v>115</v>
      </c>
      <c r="G79" s="79">
        <f>(Gyplyner!$D$6/2.88)*40*(1.5/1000)*(1+Gyplyner!$J$7)</f>
        <v>0.61250000000000004</v>
      </c>
      <c r="I79" s="80" t="s">
        <v>187</v>
      </c>
    </row>
    <row r="80" spans="1:9" x14ac:dyDescent="0.5">
      <c r="A80" t="s">
        <v>122</v>
      </c>
      <c r="B80">
        <v>75</v>
      </c>
      <c r="E80">
        <v>1</v>
      </c>
      <c r="F80" s="72">
        <v>115</v>
      </c>
      <c r="G80" s="79">
        <f>(Gyplyner!$D$6/2.88)*40*(2.8/1000)*(1+Gyplyner!$J$7)</f>
        <v>1.1433333333333335</v>
      </c>
      <c r="I80" s="80" t="s">
        <v>191</v>
      </c>
    </row>
    <row r="81" spans="1:9" x14ac:dyDescent="0.5">
      <c r="A81" t="s">
        <v>121</v>
      </c>
      <c r="B81">
        <v>38</v>
      </c>
      <c r="F81" s="72">
        <v>600</v>
      </c>
      <c r="G81" s="79">
        <f>0.03*Gyplyner!$D$6*(1+Gyplyner!$J$7)</f>
        <v>0.88200000000000001</v>
      </c>
      <c r="I81" s="80" t="s">
        <v>189</v>
      </c>
    </row>
    <row r="82" spans="1:9" x14ac:dyDescent="0.5">
      <c r="A82" t="s">
        <v>123</v>
      </c>
      <c r="B82">
        <v>45</v>
      </c>
      <c r="F82" s="72">
        <v>680</v>
      </c>
      <c r="G82" s="79">
        <f>0.03*Gyplyner!$D$6*(1+Gyplyner!$J$7)</f>
        <v>0.88200000000000001</v>
      </c>
      <c r="I82" s="80" t="s">
        <v>190</v>
      </c>
    </row>
    <row r="85" spans="1:9" ht="20.399999999999999" x14ac:dyDescent="0.55000000000000004">
      <c r="A85" s="75" t="s">
        <v>124</v>
      </c>
      <c r="B85" t="s">
        <v>80</v>
      </c>
      <c r="E85" t="s">
        <v>82</v>
      </c>
      <c r="G85" s="73" t="s">
        <v>83</v>
      </c>
    </row>
    <row r="86" spans="1:9" x14ac:dyDescent="0.5">
      <c r="A86" t="s">
        <v>125</v>
      </c>
      <c r="B86">
        <v>13</v>
      </c>
      <c r="E86">
        <v>1</v>
      </c>
      <c r="F86" s="72">
        <v>320</v>
      </c>
      <c r="G86" s="79" t="e">
        <f>((((Gyplyner!$J$5/Gyplyner!$I$6)*(Gyplyner!$J$4/4)*2)+(Gyplyner!#REF!*2))*0.94/1000*(1+Gyplyner!$J$7))</f>
        <v>#DIV/0!</v>
      </c>
      <c r="I86" s="80" t="s">
        <v>192</v>
      </c>
    </row>
    <row r="89" spans="1:9" ht="20.399999999999999" x14ac:dyDescent="0.55000000000000004">
      <c r="A89" s="75" t="s">
        <v>126</v>
      </c>
      <c r="B89" t="s">
        <v>84</v>
      </c>
      <c r="E89" t="s">
        <v>82</v>
      </c>
      <c r="G89" s="73" t="s">
        <v>83</v>
      </c>
    </row>
    <row r="90" spans="1:9" x14ac:dyDescent="0.5">
      <c r="A90" t="s">
        <v>127</v>
      </c>
      <c r="B90">
        <v>25</v>
      </c>
      <c r="E90">
        <v>25</v>
      </c>
      <c r="F90" s="72">
        <v>212</v>
      </c>
      <c r="G90" s="79">
        <f>0.015*Gyplyner!$D$6*(1+Gyplyner!$J$7)</f>
        <v>0.441</v>
      </c>
      <c r="I90" s="80" t="s">
        <v>193</v>
      </c>
    </row>
    <row r="91" spans="1:9" x14ac:dyDescent="0.5">
      <c r="A91" t="s">
        <v>135</v>
      </c>
      <c r="B91">
        <v>20</v>
      </c>
      <c r="E91">
        <v>20</v>
      </c>
      <c r="F91" s="72">
        <v>190</v>
      </c>
      <c r="G91" s="79">
        <f>0.015*Gyplyner!$D$6*(1+Gyplyner!$J$7)</f>
        <v>0.441</v>
      </c>
      <c r="I91" s="80" t="s">
        <v>194</v>
      </c>
    </row>
    <row r="93" spans="1:9" ht="20.399999999999999" x14ac:dyDescent="0.55000000000000004">
      <c r="A93" s="75" t="s">
        <v>101</v>
      </c>
      <c r="B93" t="s">
        <v>128</v>
      </c>
      <c r="E93" t="s">
        <v>82</v>
      </c>
    </row>
    <row r="94" spans="1:9" x14ac:dyDescent="0.5">
      <c r="A94" t="s">
        <v>102</v>
      </c>
      <c r="B94">
        <v>25</v>
      </c>
      <c r="E94">
        <v>0.25</v>
      </c>
      <c r="F94" s="72">
        <v>37</v>
      </c>
      <c r="G94" s="73">
        <f>ROUNDUP(((1.2+2.4)*2*Gyplyner!$E$10/2)/$B94,)*(1+Gyplyner!$J$7)</f>
        <v>2.1</v>
      </c>
      <c r="I94" s="80" t="s">
        <v>195</v>
      </c>
    </row>
    <row r="95" spans="1:9" x14ac:dyDescent="0.5">
      <c r="A95" t="s">
        <v>205</v>
      </c>
      <c r="B95">
        <v>20</v>
      </c>
      <c r="E95">
        <v>0.6</v>
      </c>
      <c r="F95" s="72">
        <v>31.5</v>
      </c>
      <c r="G95" s="73">
        <f>ROUNDUP(((1.2+2.4)*2*Gyplyner!$E$10/2)/$B95,)*(1+Gyplyner!$J$7)</f>
        <v>2.1</v>
      </c>
      <c r="I95" s="80" t="s">
        <v>196</v>
      </c>
    </row>
    <row r="97" spans="1:9" x14ac:dyDescent="0.5">
      <c r="A97" t="s">
        <v>129</v>
      </c>
      <c r="B97">
        <v>10</v>
      </c>
      <c r="E97">
        <v>1</v>
      </c>
      <c r="F97" s="72">
        <v>929</v>
      </c>
      <c r="G97" s="79">
        <f>ROUNDUP(((1.2+2.4)*2*Gyplyner!$E$10/2)/$B97,)*(1+Gyplyner!$J$7)</f>
        <v>4.2</v>
      </c>
    </row>
    <row r="99" spans="1:9" ht="20.399999999999999" x14ac:dyDescent="0.55000000000000004">
      <c r="A99" s="75" t="s">
        <v>130</v>
      </c>
      <c r="B99" t="s">
        <v>131</v>
      </c>
      <c r="E99" t="s">
        <v>82</v>
      </c>
      <c r="G99" s="73" t="s">
        <v>83</v>
      </c>
    </row>
    <row r="100" spans="1:9" x14ac:dyDescent="0.5">
      <c r="A100" s="76" t="s">
        <v>136</v>
      </c>
      <c r="B100">
        <v>600</v>
      </c>
      <c r="C100">
        <v>15000</v>
      </c>
      <c r="D100">
        <v>50</v>
      </c>
      <c r="E100">
        <f>24*1.2*30*0.05</f>
        <v>43.199999999999996</v>
      </c>
      <c r="F100" s="72">
        <v>3100</v>
      </c>
      <c r="G100" s="79">
        <f>Gyplyner!$D$6/($B100/1000*$C100/1000)*(1+Gyplyner!$J$7)</f>
        <v>3.2666666666666671</v>
      </c>
      <c r="I100" s="80" t="s">
        <v>197</v>
      </c>
    </row>
    <row r="101" spans="1:9" x14ac:dyDescent="0.5">
      <c r="A101" t="s">
        <v>137</v>
      </c>
      <c r="B101">
        <v>600</v>
      </c>
      <c r="C101">
        <v>10000</v>
      </c>
      <c r="D101">
        <v>50</v>
      </c>
      <c r="E101">
        <f>40*1.2*10*0.05</f>
        <v>24</v>
      </c>
      <c r="F101" s="72">
        <v>3800</v>
      </c>
      <c r="G101" s="79">
        <f>Gyplyner!$D$6/($B101/1000*$C101/1000)*(1+Gyplyner!$J$7)</f>
        <v>4.9000000000000004</v>
      </c>
      <c r="I101" s="80" t="s">
        <v>198</v>
      </c>
    </row>
    <row r="104" spans="1:9" ht="20.399999999999999" x14ac:dyDescent="0.55000000000000004">
      <c r="A104" s="75" t="s">
        <v>132</v>
      </c>
      <c r="B104" t="s">
        <v>133</v>
      </c>
      <c r="E104" t="s">
        <v>82</v>
      </c>
      <c r="G104" s="73" t="s">
        <v>83</v>
      </c>
    </row>
    <row r="105" spans="1:9" x14ac:dyDescent="0.5">
      <c r="A105" t="s">
        <v>134</v>
      </c>
      <c r="B105">
        <v>600</v>
      </c>
      <c r="E105">
        <v>0.98</v>
      </c>
      <c r="F105" s="98" t="s">
        <v>213</v>
      </c>
      <c r="G105" s="79">
        <f>((Gyplyner!$J$5*2*6*6)/B105)*(1+Gyplyner!$J$7)</f>
        <v>1.26</v>
      </c>
    </row>
    <row r="106" spans="1:9" x14ac:dyDescent="0.5">
      <c r="A106" s="76" t="s">
        <v>214</v>
      </c>
      <c r="B106">
        <v>580</v>
      </c>
      <c r="E106">
        <v>0.92</v>
      </c>
      <c r="F106" s="98" t="s">
        <v>213</v>
      </c>
      <c r="G106" s="79">
        <f>((Gyplyner!$J$5*2*6*6)/B106)*(1+Gyplyner!$J$7)</f>
        <v>1.3034482758620691</v>
      </c>
    </row>
    <row r="107" spans="1:9" x14ac:dyDescent="0.5">
      <c r="A107" s="76"/>
      <c r="F107" s="98"/>
      <c r="G107" s="79"/>
    </row>
    <row r="108" spans="1:9" x14ac:dyDescent="0.5">
      <c r="A108" t="s">
        <v>217</v>
      </c>
      <c r="E108">
        <v>23</v>
      </c>
      <c r="F108" s="110">
        <v>1250</v>
      </c>
      <c r="G108" s="79">
        <f>ROUNDUP((Gyplyner!$J$5*1.8)/(E108/4),2)*(1+Gyplyner!$J$7)</f>
        <v>3.2969999999999997</v>
      </c>
    </row>
    <row r="109" spans="1:9" x14ac:dyDescent="0.5">
      <c r="A109" t="s">
        <v>218</v>
      </c>
      <c r="E109">
        <v>23</v>
      </c>
      <c r="F109" s="110">
        <v>1250</v>
      </c>
      <c r="G109" s="79">
        <f>ROUNDUP((Gyplyner!$J$5*0.3)/(E109/4),2)*(1+Gyplyner!$J$7)</f>
        <v>0.55650000000000011</v>
      </c>
    </row>
    <row r="110" spans="1:9" x14ac:dyDescent="0.5">
      <c r="A110" t="s">
        <v>219</v>
      </c>
      <c r="E110">
        <v>25</v>
      </c>
      <c r="F110" s="110">
        <v>650</v>
      </c>
      <c r="G110" s="79">
        <f>ROUNDUP((Gyplyner!$J$5*1.8)/(E110/4),2)*(1+Gyplyner!$J$7)</f>
        <v>3.024</v>
      </c>
    </row>
    <row r="111" spans="1:9" x14ac:dyDescent="0.5">
      <c r="A111" t="s">
        <v>220</v>
      </c>
      <c r="E111">
        <v>25</v>
      </c>
      <c r="F111" s="110">
        <v>650</v>
      </c>
      <c r="G111" s="79">
        <f>ROUNDUP((Gyplyner!$J$5*0.3)/(E111/4),2)*(1+Gyplyner!$J$7)</f>
        <v>0.504</v>
      </c>
    </row>
    <row r="113" spans="1:1" x14ac:dyDescent="0.5">
      <c r="A113" s="76" t="s">
        <v>225</v>
      </c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5" sqref="B5"/>
    </sheetView>
  </sheetViews>
  <sheetFormatPr defaultRowHeight="19.8" x14ac:dyDescent="0.5"/>
  <cols>
    <col min="1" max="1" width="56.625" customWidth="1"/>
    <col min="2" max="2" width="14.625" customWidth="1"/>
    <col min="3" max="3" width="16" customWidth="1"/>
    <col min="4" max="4" width="15.875" customWidth="1"/>
    <col min="5" max="5" width="11.125" customWidth="1"/>
    <col min="6" max="6" width="15" customWidth="1"/>
    <col min="7" max="7" width="43.5" customWidth="1"/>
  </cols>
  <sheetData>
    <row r="1" spans="1:7" ht="23.4" x14ac:dyDescent="0.6">
      <c r="A1" s="2" t="s">
        <v>14</v>
      </c>
      <c r="B1" s="2"/>
      <c r="C1" s="2"/>
      <c r="D1" s="2"/>
      <c r="E1" s="2"/>
      <c r="F1" s="2"/>
      <c r="G1" s="2"/>
    </row>
    <row r="2" spans="1:7" ht="23.4" x14ac:dyDescent="0.6">
      <c r="A2" s="22"/>
      <c r="B2" s="2"/>
      <c r="C2" s="2"/>
      <c r="D2" s="2"/>
      <c r="E2" s="2"/>
      <c r="F2" s="2"/>
      <c r="G2" s="2"/>
    </row>
    <row r="3" spans="1:7" ht="34.799999999999997" x14ac:dyDescent="0.9">
      <c r="A3" s="124" t="s">
        <v>60</v>
      </c>
      <c r="B3" s="124"/>
      <c r="C3" s="124"/>
      <c r="D3" s="124"/>
      <c r="E3" s="124"/>
      <c r="F3" s="124"/>
      <c r="G3" s="124"/>
    </row>
    <row r="4" spans="1:7" ht="23.4" x14ac:dyDescent="0.6">
      <c r="A4" s="25" t="s">
        <v>6</v>
      </c>
      <c r="B4" s="26"/>
      <c r="C4" s="26"/>
      <c r="D4" s="27"/>
      <c r="E4" s="27"/>
      <c r="F4" s="27"/>
      <c r="G4" s="27"/>
    </row>
    <row r="5" spans="1:7" ht="32.4" x14ac:dyDescent="0.85">
      <c r="A5" s="28" t="s">
        <v>27</v>
      </c>
      <c r="B5" s="50">
        <v>1</v>
      </c>
      <c r="C5" s="29" t="s">
        <v>19</v>
      </c>
      <c r="D5" s="27"/>
      <c r="E5" s="27"/>
      <c r="F5" s="27"/>
      <c r="G5" s="27"/>
    </row>
    <row r="6" spans="1:7" ht="33" thickBot="1" x14ac:dyDescent="0.9">
      <c r="A6" s="28" t="s">
        <v>34</v>
      </c>
      <c r="B6" s="45">
        <f>+B5</f>
        <v>1</v>
      </c>
      <c r="C6" s="29" t="s">
        <v>20</v>
      </c>
      <c r="D6" s="30"/>
      <c r="E6" s="30"/>
      <c r="F6" s="31"/>
      <c r="G6" s="33" t="s">
        <v>66</v>
      </c>
    </row>
    <row r="7" spans="1:7" ht="21" thickBot="1" x14ac:dyDescent="0.6">
      <c r="A7" s="46" t="s">
        <v>0</v>
      </c>
      <c r="B7" s="47" t="s">
        <v>1</v>
      </c>
      <c r="C7" s="46" t="s">
        <v>29</v>
      </c>
      <c r="D7" s="47" t="s">
        <v>26</v>
      </c>
      <c r="E7" s="46" t="s">
        <v>54</v>
      </c>
      <c r="F7" s="46" t="s">
        <v>2</v>
      </c>
      <c r="G7" s="46" t="s">
        <v>9</v>
      </c>
    </row>
    <row r="8" spans="1:7" x14ac:dyDescent="0.5">
      <c r="A8" s="1" t="s">
        <v>48</v>
      </c>
      <c r="B8" s="5" t="s">
        <v>30</v>
      </c>
      <c r="C8" s="10">
        <f>0.33*B5</f>
        <v>0.33</v>
      </c>
      <c r="D8" s="7">
        <f>67*1</f>
        <v>67</v>
      </c>
      <c r="E8" s="51">
        <v>0</v>
      </c>
      <c r="F8" s="9">
        <f>+(D8-(D8*E8))*C8</f>
        <v>22.11</v>
      </c>
      <c r="G8" s="125"/>
    </row>
    <row r="9" spans="1:7" x14ac:dyDescent="0.5">
      <c r="A9" s="1" t="s">
        <v>58</v>
      </c>
      <c r="B9" s="5" t="s">
        <v>30</v>
      </c>
      <c r="C9" s="10">
        <f>0.656*B5</f>
        <v>0.65600000000000003</v>
      </c>
      <c r="D9" s="7">
        <f>67*1</f>
        <v>67</v>
      </c>
      <c r="E9" s="51">
        <v>0</v>
      </c>
      <c r="F9" s="9">
        <f t="shared" ref="F9:F21" si="0">+(D9-(D9*E9))*C9</f>
        <v>43.952000000000005</v>
      </c>
      <c r="G9" s="126"/>
    </row>
    <row r="10" spans="1:7" x14ac:dyDescent="0.5">
      <c r="A10" s="1" t="s">
        <v>51</v>
      </c>
      <c r="B10" s="5" t="s">
        <v>25</v>
      </c>
      <c r="C10" s="5">
        <f>0.3*B5</f>
        <v>0.3</v>
      </c>
      <c r="D10" s="7">
        <f>22*1</f>
        <v>22</v>
      </c>
      <c r="E10" s="51">
        <v>0</v>
      </c>
      <c r="F10" s="9">
        <f t="shared" si="0"/>
        <v>6.6</v>
      </c>
      <c r="G10" s="129"/>
    </row>
    <row r="11" spans="1:7" x14ac:dyDescent="0.5">
      <c r="A11" s="1" t="s">
        <v>46</v>
      </c>
      <c r="B11" s="5" t="s">
        <v>4</v>
      </c>
      <c r="C11" s="5">
        <f>0.01*B5</f>
        <v>0.01</v>
      </c>
      <c r="D11" s="7">
        <f>320*1</f>
        <v>320</v>
      </c>
      <c r="E11" s="51">
        <v>0</v>
      </c>
      <c r="F11" s="9">
        <f t="shared" si="0"/>
        <v>3.2</v>
      </c>
      <c r="G11" s="129"/>
    </row>
    <row r="12" spans="1:7" x14ac:dyDescent="0.5">
      <c r="A12" s="1" t="s">
        <v>47</v>
      </c>
      <c r="B12" s="5" t="s">
        <v>3</v>
      </c>
      <c r="C12" s="5">
        <f>1.64*B5</f>
        <v>1.64</v>
      </c>
      <c r="D12" s="7">
        <f>4*1</f>
        <v>4</v>
      </c>
      <c r="E12" s="51">
        <v>0</v>
      </c>
      <c r="F12" s="9">
        <f t="shared" si="0"/>
        <v>6.56</v>
      </c>
      <c r="G12" s="129"/>
    </row>
    <row r="13" spans="1:7" x14ac:dyDescent="0.5">
      <c r="A13" s="1" t="s">
        <v>38</v>
      </c>
      <c r="B13" s="5" t="s">
        <v>3</v>
      </c>
      <c r="C13" s="5">
        <f>1.64*$B$5</f>
        <v>1.64</v>
      </c>
      <c r="D13" s="7">
        <f>2.25*1</f>
        <v>2.25</v>
      </c>
      <c r="E13" s="51">
        <v>0</v>
      </c>
      <c r="F13" s="9">
        <f t="shared" si="0"/>
        <v>3.69</v>
      </c>
      <c r="G13" s="44"/>
    </row>
    <row r="14" spans="1:7" x14ac:dyDescent="0.5">
      <c r="A14" s="1" t="s">
        <v>41</v>
      </c>
      <c r="B14" s="5" t="s">
        <v>3</v>
      </c>
      <c r="C14" s="5">
        <f>1.64*$B$5</f>
        <v>1.64</v>
      </c>
      <c r="D14" s="7">
        <f>4*1</f>
        <v>4</v>
      </c>
      <c r="E14" s="51">
        <v>0</v>
      </c>
      <c r="F14" s="9">
        <f t="shared" si="0"/>
        <v>6.56</v>
      </c>
      <c r="G14" s="44"/>
    </row>
    <row r="15" spans="1:7" x14ac:dyDescent="0.5">
      <c r="A15" s="1" t="s">
        <v>42</v>
      </c>
      <c r="B15" s="5" t="s">
        <v>36</v>
      </c>
      <c r="C15" s="5">
        <f>0.33*B5</f>
        <v>0.33</v>
      </c>
      <c r="D15" s="7">
        <f>20*1</f>
        <v>20</v>
      </c>
      <c r="E15" s="51">
        <v>0</v>
      </c>
      <c r="F15" s="9">
        <f t="shared" si="0"/>
        <v>6.6000000000000005</v>
      </c>
      <c r="G15" s="44"/>
    </row>
    <row r="16" spans="1:7" ht="20.399999999999999" x14ac:dyDescent="0.55000000000000004">
      <c r="A16" s="1" t="s">
        <v>31</v>
      </c>
      <c r="B16" s="5" t="s">
        <v>4</v>
      </c>
      <c r="C16" s="5">
        <f>0.03*B6</f>
        <v>0.03</v>
      </c>
      <c r="D16" s="7">
        <f>95*1</f>
        <v>95</v>
      </c>
      <c r="E16" s="51">
        <v>0</v>
      </c>
      <c r="F16" s="9">
        <f t="shared" si="0"/>
        <v>2.85</v>
      </c>
      <c r="G16" s="35"/>
    </row>
    <row r="17" spans="1:8" x14ac:dyDescent="0.5">
      <c r="A17" s="1" t="s">
        <v>32</v>
      </c>
      <c r="B17" s="5" t="s">
        <v>33</v>
      </c>
      <c r="C17" s="5">
        <f>1.64*$B$5</f>
        <v>1.64</v>
      </c>
      <c r="D17" s="7">
        <f>2*1</f>
        <v>2</v>
      </c>
      <c r="E17" s="51">
        <v>0</v>
      </c>
      <c r="F17" s="9">
        <f t="shared" si="0"/>
        <v>3.28</v>
      </c>
      <c r="G17" s="36"/>
    </row>
    <row r="18" spans="1:8" ht="20.399999999999999" x14ac:dyDescent="0.55000000000000004">
      <c r="A18" s="1" t="s">
        <v>35</v>
      </c>
      <c r="B18" s="5" t="s">
        <v>3</v>
      </c>
      <c r="C18" s="5">
        <f>3.28*B5</f>
        <v>3.28</v>
      </c>
      <c r="D18" s="7">
        <f>1.75*1</f>
        <v>1.75</v>
      </c>
      <c r="E18" s="51">
        <v>0</v>
      </c>
      <c r="F18" s="9">
        <f t="shared" si="0"/>
        <v>5.7399999999999993</v>
      </c>
      <c r="G18" s="35"/>
    </row>
    <row r="19" spans="1:8" ht="20.399999999999999" x14ac:dyDescent="0.55000000000000004">
      <c r="A19" s="1" t="s">
        <v>52</v>
      </c>
      <c r="B19" s="5" t="s">
        <v>7</v>
      </c>
      <c r="C19" s="10">
        <f>0.36*B6</f>
        <v>0.36</v>
      </c>
      <c r="D19" s="7">
        <f>238*1</f>
        <v>238</v>
      </c>
      <c r="E19" s="51">
        <v>0</v>
      </c>
      <c r="F19" s="9">
        <f t="shared" si="0"/>
        <v>85.679999999999993</v>
      </c>
      <c r="G19" s="35"/>
    </row>
    <row r="20" spans="1:8" ht="20.399999999999999" x14ac:dyDescent="0.55000000000000004">
      <c r="A20" s="12" t="s">
        <v>15</v>
      </c>
      <c r="B20" s="34" t="s">
        <v>11</v>
      </c>
      <c r="C20" s="10">
        <f>0.015*B6</f>
        <v>1.4999999999999999E-2</v>
      </c>
      <c r="D20" s="7">
        <f>212*1</f>
        <v>212</v>
      </c>
      <c r="E20" s="51">
        <v>0</v>
      </c>
      <c r="F20" s="9">
        <f t="shared" si="0"/>
        <v>3.1799999999999997</v>
      </c>
      <c r="G20" s="35"/>
    </row>
    <row r="21" spans="1:8" ht="20.399999999999999" x14ac:dyDescent="0.55000000000000004">
      <c r="A21" s="12" t="s">
        <v>13</v>
      </c>
      <c r="B21" s="21" t="s">
        <v>12</v>
      </c>
      <c r="C21" s="10">
        <f>0.05*B6</f>
        <v>0.05</v>
      </c>
      <c r="D21" s="7">
        <f>37*1</f>
        <v>37</v>
      </c>
      <c r="E21" s="51">
        <v>0</v>
      </c>
      <c r="F21" s="9">
        <f t="shared" si="0"/>
        <v>1.85</v>
      </c>
      <c r="G21" s="37"/>
    </row>
    <row r="22" spans="1:8" x14ac:dyDescent="0.5">
      <c r="A22" s="1"/>
      <c r="B22" s="41"/>
      <c r="C22" s="41"/>
      <c r="D22" s="41"/>
      <c r="E22" s="41"/>
      <c r="F22" s="41"/>
      <c r="G22" s="38"/>
    </row>
    <row r="23" spans="1:8" ht="20.399999999999999" thickBot="1" x14ac:dyDescent="0.55000000000000004">
      <c r="A23" s="3"/>
      <c r="B23" s="13"/>
      <c r="C23" s="13"/>
      <c r="D23" s="13"/>
      <c r="E23" s="13"/>
      <c r="F23" s="13"/>
      <c r="G23" s="39"/>
    </row>
    <row r="24" spans="1:8" ht="21" thickBot="1" x14ac:dyDescent="0.6">
      <c r="A24" s="14" t="s">
        <v>8</v>
      </c>
      <c r="C24" s="15"/>
      <c r="D24" s="15" t="s">
        <v>5</v>
      </c>
      <c r="E24" s="15"/>
      <c r="F24" s="16">
        <f>SUM(F6:F23)</f>
        <v>201.852</v>
      </c>
      <c r="G24" s="40"/>
      <c r="H24" s="4"/>
    </row>
    <row r="25" spans="1:8" ht="20.399999999999999" x14ac:dyDescent="0.55000000000000004">
      <c r="A25" s="14"/>
      <c r="C25" s="15"/>
      <c r="D25" s="15"/>
      <c r="E25" s="15"/>
      <c r="F25" s="19"/>
      <c r="G25" s="6"/>
      <c r="H25" s="4"/>
    </row>
    <row r="26" spans="1:8" x14ac:dyDescent="0.5">
      <c r="A26" s="24" t="s">
        <v>21</v>
      </c>
    </row>
    <row r="27" spans="1:8" ht="21" x14ac:dyDescent="0.6">
      <c r="A27" s="23" t="s">
        <v>22</v>
      </c>
    </row>
    <row r="28" spans="1:8" ht="21" x14ac:dyDescent="0.6">
      <c r="A28" s="23" t="s">
        <v>23</v>
      </c>
    </row>
    <row r="29" spans="1:8" ht="21" x14ac:dyDescent="0.6">
      <c r="A29" s="23" t="s">
        <v>24</v>
      </c>
    </row>
  </sheetData>
  <mergeCells count="3">
    <mergeCell ref="A3:G3"/>
    <mergeCell ref="G8:G9"/>
    <mergeCell ref="G10:G12"/>
  </mergeCells>
  <pageMargins left="0.22" right="0.26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SuperWall@40</vt:lpstr>
      <vt:lpstr>ML50A-60x40x60cm</vt:lpstr>
      <vt:lpstr>ML 60x60</vt:lpstr>
      <vt:lpstr>Gyplyner</vt:lpstr>
      <vt:lpstr>Data</vt:lpstr>
      <vt:lpstr>SL40 80x40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Division</dc:creator>
  <cp:lastModifiedBy>CHAROENRAT, Dhittita</cp:lastModifiedBy>
  <cp:lastPrinted>2020-01-13T10:17:07Z</cp:lastPrinted>
  <dcterms:created xsi:type="dcterms:W3CDTF">2000-02-15T08:37:35Z</dcterms:created>
  <dcterms:modified xsi:type="dcterms:W3CDTF">2020-04-07T08:05:41Z</dcterms:modified>
</cp:coreProperties>
</file>