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8800" windowHeight="1243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Conceal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E72" i="98" l="1"/>
  <c r="E71" i="98"/>
  <c r="G30" i="98" l="1"/>
  <c r="G29" i="98"/>
  <c r="G48" i="98" l="1"/>
  <c r="H48" i="98" s="1"/>
  <c r="A18" i="80" l="1"/>
  <c r="A15" i="80"/>
  <c r="E127" i="98" l="1"/>
  <c r="G14" i="98" l="1"/>
  <c r="H14" i="98" s="1"/>
  <c r="G19" i="98" l="1"/>
  <c r="H19" i="98" s="1"/>
  <c r="G113" i="98" l="1"/>
  <c r="H113" i="98" s="1"/>
  <c r="A10" i="80" l="1"/>
  <c r="A24" i="80"/>
  <c r="A23" i="80"/>
  <c r="A22" i="80"/>
  <c r="A21" i="80"/>
  <c r="A20" i="80"/>
  <c r="A19" i="80"/>
  <c r="A17" i="80"/>
  <c r="A16" i="80"/>
  <c r="A14" i="80"/>
  <c r="A13" i="80"/>
  <c r="A12" i="80"/>
  <c r="A11" i="80"/>
  <c r="H24" i="80" l="1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G47" i="98"/>
  <c r="H47" i="98" s="1"/>
  <c r="G20" i="98"/>
  <c r="G21" i="98"/>
  <c r="H21" i="98" s="1"/>
  <c r="G15" i="98"/>
  <c r="G16" i="98"/>
  <c r="H16" i="98" s="1"/>
  <c r="E128" i="98"/>
  <c r="D5" i="80"/>
  <c r="G55" i="98" s="1"/>
  <c r="H55" i="98" s="1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74" i="98" l="1"/>
  <c r="H74" i="98" s="1"/>
  <c r="G71" i="98"/>
  <c r="H71" i="98" s="1"/>
  <c r="G72" i="98"/>
  <c r="H72" i="98" s="1"/>
  <c r="E11" i="80"/>
  <c r="H20" i="98"/>
  <c r="E10" i="80"/>
  <c r="H15" i="98"/>
  <c r="G76" i="98"/>
  <c r="H76" i="98" s="1"/>
  <c r="G68" i="98"/>
  <c r="H68" i="98" s="1"/>
  <c r="G64" i="98"/>
  <c r="H64" i="98" s="1"/>
  <c r="G57" i="98"/>
  <c r="H57" i="98" s="1"/>
  <c r="G63" i="98"/>
  <c r="H63" i="98" s="1"/>
  <c r="G58" i="98"/>
  <c r="H58" i="98" s="1"/>
  <c r="G66" i="98"/>
  <c r="H66" i="98" s="1"/>
  <c r="G62" i="98"/>
  <c r="H62" i="98" s="1"/>
  <c r="G59" i="98"/>
  <c r="H59" i="98" s="1"/>
  <c r="G65" i="98"/>
  <c r="H65" i="98" s="1"/>
  <c r="G61" i="98"/>
  <c r="H61" i="98" s="1"/>
  <c r="G67" i="98"/>
  <c r="H67" i="98" s="1"/>
  <c r="G44" i="98"/>
  <c r="H44" i="98" s="1"/>
  <c r="G35" i="98"/>
  <c r="H35" i="98" s="1"/>
  <c r="G41" i="98"/>
  <c r="H41" i="98" s="1"/>
  <c r="G33" i="98"/>
  <c r="H33" i="98" s="1"/>
  <c r="G38" i="98"/>
  <c r="H38" i="98" s="1"/>
  <c r="G34" i="98"/>
  <c r="G53" i="98"/>
  <c r="H53" i="98" s="1"/>
  <c r="G79" i="98"/>
  <c r="H79" i="98" s="1"/>
  <c r="G84" i="98"/>
  <c r="H84" i="98" s="1"/>
  <c r="G26" i="98"/>
  <c r="H26" i="98" s="1"/>
  <c r="G89" i="98"/>
  <c r="H89" i="98" s="1"/>
  <c r="G25" i="98"/>
  <c r="G52" i="98"/>
  <c r="H52" i="98" s="1"/>
  <c r="G24" i="98"/>
  <c r="H24" i="98" s="1"/>
  <c r="G88" i="98"/>
  <c r="H88" i="98" s="1"/>
  <c r="G70" i="98"/>
  <c r="H70" i="98" s="1"/>
  <c r="G92" i="98"/>
  <c r="H92" i="98" s="1"/>
  <c r="G77" i="98"/>
  <c r="H77" i="98" s="1"/>
  <c r="G95" i="98"/>
  <c r="G82" i="98"/>
  <c r="H82" i="98" s="1"/>
  <c r="H29" i="98"/>
  <c r="D6" i="80"/>
  <c r="G108" i="98" s="1"/>
  <c r="H108" i="98" s="1"/>
  <c r="G51" i="98"/>
  <c r="H51" i="98" s="1"/>
  <c r="G81" i="98"/>
  <c r="H81" i="98" s="1"/>
  <c r="G85" i="98"/>
  <c r="H85" i="98" s="1"/>
  <c r="G87" i="98"/>
  <c r="H87" i="98" s="1"/>
  <c r="G91" i="98"/>
  <c r="H91" i="98" s="1"/>
  <c r="E12" i="80"/>
  <c r="E13" i="80"/>
  <c r="E16" i="80" l="1"/>
  <c r="E17" i="80"/>
  <c r="J17" i="80" s="1"/>
  <c r="F13" i="80"/>
  <c r="G13" i="80"/>
  <c r="F16" i="80"/>
  <c r="G16" i="80"/>
  <c r="J10" i="80"/>
  <c r="G10" i="80"/>
  <c r="F12" i="80"/>
  <c r="G12" i="80"/>
  <c r="F11" i="80"/>
  <c r="G11" i="80"/>
  <c r="E18" i="80"/>
  <c r="J11" i="80"/>
  <c r="F10" i="80"/>
  <c r="E15" i="80"/>
  <c r="H34" i="98"/>
  <c r="E20" i="80"/>
  <c r="H95" i="98"/>
  <c r="E21" i="80"/>
  <c r="H25" i="98"/>
  <c r="E14" i="80"/>
  <c r="H30" i="98"/>
  <c r="E22" i="80"/>
  <c r="G22" i="80" s="1"/>
  <c r="J16" i="80"/>
  <c r="G107" i="98"/>
  <c r="H107" i="98" s="1"/>
  <c r="G98" i="98"/>
  <c r="H98" i="98" s="1"/>
  <c r="G106" i="98"/>
  <c r="G103" i="98"/>
  <c r="H103" i="98" s="1"/>
  <c r="G99" i="98"/>
  <c r="H99" i="98" s="1"/>
  <c r="G102" i="98"/>
  <c r="G125" i="98"/>
  <c r="H125" i="98" s="1"/>
  <c r="G126" i="98"/>
  <c r="H126" i="98" s="1"/>
  <c r="G117" i="98"/>
  <c r="G128" i="98"/>
  <c r="H128" i="98" s="1"/>
  <c r="G100" i="98"/>
  <c r="G127" i="98"/>
  <c r="G118" i="98"/>
  <c r="H118" i="98" s="1"/>
  <c r="G101" i="98"/>
  <c r="G109" i="98"/>
  <c r="H109" i="98" s="1"/>
  <c r="J12" i="80"/>
  <c r="J13" i="80"/>
  <c r="F17" i="80" l="1"/>
  <c r="G17" i="80"/>
  <c r="F15" i="80"/>
  <c r="G15" i="80"/>
  <c r="F14" i="80"/>
  <c r="G14" i="80"/>
  <c r="F20" i="80"/>
  <c r="G20" i="80"/>
  <c r="F21" i="80"/>
  <c r="G21" i="80"/>
  <c r="F18" i="80"/>
  <c r="G18" i="80"/>
  <c r="H106" i="98"/>
  <c r="J18" i="80"/>
  <c r="G121" i="98"/>
  <c r="G122" i="98"/>
  <c r="H122" i="98" s="1"/>
  <c r="J15" i="80"/>
  <c r="J20" i="80"/>
  <c r="E23" i="80"/>
  <c r="H117" i="98"/>
  <c r="J21" i="80"/>
  <c r="H127" i="98"/>
  <c r="J14" i="80"/>
  <c r="F22" i="80"/>
  <c r="J22" i="80"/>
  <c r="E19" i="80"/>
  <c r="F19" i="80" l="1"/>
  <c r="G19" i="80"/>
  <c r="F23" i="80"/>
  <c r="G23" i="80"/>
  <c r="E24" i="80"/>
  <c r="H121" i="98"/>
  <c r="J23" i="80"/>
  <c r="J19" i="80"/>
  <c r="F24" i="80" l="1"/>
  <c r="G24" i="80"/>
  <c r="G27" i="80" s="1"/>
  <c r="G28" i="80" s="1"/>
  <c r="J24" i="80"/>
  <c r="J27" i="80" s="1"/>
  <c r="J28" i="80" s="1"/>
</calcChain>
</file>

<file path=xl/comments1.xml><?xml version="1.0" encoding="utf-8"?>
<comments xmlns="http://schemas.openxmlformats.org/spreadsheetml/2006/main">
  <authors>
    <author>Thongsiri, Teerasak</author>
  </authors>
  <commentList>
    <comment ref="D7" authorId="0" shapeId="0">
      <text>
        <r>
          <rPr>
            <b/>
            <sz val="9"/>
            <color indexed="81"/>
            <rFont val="Tahoma"/>
          </rPr>
          <t>Thongsiri, Teerasak:</t>
        </r>
        <r>
          <rPr>
            <sz val="9"/>
            <color indexed="81"/>
            <rFont val="Tahoma"/>
          </rPr>
          <t xml:space="preserve">
ระยะต่ำสุดคือ 0.2 ม.
ระยะสูงสุดคือ 6 ม.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25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126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127" authorId="0" shapeId="0">
      <text>
        <r>
          <rPr>
            <b/>
            <sz val="9"/>
            <color indexed="81"/>
            <rFont val="Tahoma"/>
            <charset val="22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28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<sst xmlns="http://schemas.openxmlformats.org/spreadsheetml/2006/main" count="617" uniqueCount="291">
  <si>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</si>
  <si>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</si>
  <si>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</si>
  <si>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</si>
  <si>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</si>
  <si>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</si>
  <si>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</si>
  <si>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</si>
  <si>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</si>
  <si>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</si>
  <si>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</si>
  <si>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</si>
  <si>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</si>
  <si>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</si>
  <si>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</si>
  <si>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</si>
  <si>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</si>
  <si>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</si>
  <si>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</si>
  <si>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</si>
  <si>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</si>
  <si>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</si>
  <si>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</si>
  <si>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</si>
  <si>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</si>
  <si>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</si>
  <si>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</si>
  <si>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</si>
  <si>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</si>
  <si>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</si>
  <si>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</si>
  <si>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</si>
  <si>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</si>
  <si>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</si>
  <si>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</si>
  <si>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</si>
  <si>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</si>
  <si>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</si>
  <si>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</si>
  <si>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</si>
  <si>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</si>
  <si>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</si>
  <si>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</si>
  <si>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</si>
  <si>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</si>
  <si>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</si>
  <si>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</si>
  <si>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</si>
  <si>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</si>
  <si>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</si>
  <si>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</si>
  <si>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</si>
  <si>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</si>
  <si>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</si>
  <si>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</si>
  <si>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</si>
  <si>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</si>
  <si>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</si>
  <si>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</si>
  <si>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</si>
  <si>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</si>
  <si>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</si>
  <si>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</si>
  <si>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</si>
  <si>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</si>
  <si>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</si>
  <si>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</si>
  <si>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</si>
  <si>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</si>
  <si>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</si>
  <si>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</si>
  <si>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</si>
  <si>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</si>
  <si>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</si>
  <si>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</si>
  <si>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</si>
  <si>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</si>
  <si>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</si>
  <si>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</si>
  <si>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</si>
  <si>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</si>
  <si>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</si>
  <si>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</si>
  <si>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</si>
  <si>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Stud</t>
  </si>
  <si>
    <t>length</t>
  </si>
  <si>
    <t>width</t>
  </si>
  <si>
    <t>kg/unit</t>
  </si>
  <si>
    <t>usage</t>
  </si>
  <si>
    <t>Weight</t>
  </si>
  <si>
    <t>Angle</t>
  </si>
  <si>
    <t>ML50A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</si>
  <si>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</si>
  <si>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</si>
  <si>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</si>
  <si>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</si>
  <si>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</si>
  <si>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</si>
  <si>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</si>
  <si>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</si>
  <si>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</si>
  <si>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</si>
  <si>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</si>
  <si>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</si>
  <si>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</si>
  <si>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Tape</t>
  </si>
  <si>
    <t>Cotton tape</t>
  </si>
  <si>
    <t>C-Stud 49S50</t>
  </si>
  <si>
    <t>C-Stud 62S50</t>
  </si>
  <si>
    <t>C-Stud 74S50</t>
  </si>
  <si>
    <t>C-Stud 92S50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</si>
  <si>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</si>
  <si>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</si>
  <si>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</si>
  <si>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</si>
  <si>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</si>
  <si>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</si>
  <si>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</si>
  <si>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9mm 1200x2400</t>
  </si>
  <si>
    <t>RG 12mm 1200x2400</t>
  </si>
  <si>
    <t>RG 15mm 1200x2400</t>
  </si>
  <si>
    <t>DU 13mm 1200x2400</t>
  </si>
  <si>
    <t>Habito 12.5mm 1200x2400</t>
  </si>
  <si>
    <t>M2TECH 9mm 1200x2400</t>
  </si>
  <si>
    <t>Glasroc H 12.5mm 1200x2400</t>
  </si>
  <si>
    <t>MR 9mm 1200x2400</t>
  </si>
  <si>
    <t>MR 12mm 1200x2400</t>
  </si>
  <si>
    <t>FS 13mm 1200x2400</t>
  </si>
  <si>
    <t>FS 16mm 1200x2400</t>
  </si>
  <si>
    <t>ThermaLine 59mm 1200x2400</t>
  </si>
  <si>
    <t>ThermaLine 44mm 1200x2400</t>
  </si>
  <si>
    <t>ThermaLine 29mm 1200x2400</t>
  </si>
  <si>
    <t>ThermaLine MR 59mm 1200x2400</t>
  </si>
  <si>
    <t>ThermaLine MR 29mm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</si>
  <si>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</si>
  <si>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</si>
  <si>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</si>
  <si>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</si>
  <si>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</si>
  <si>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</si>
  <si>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</si>
  <si>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</si>
  <si>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</si>
  <si>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</si>
  <si>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</si>
  <si>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Insulation</t>
  </si>
  <si>
    <t>Width</t>
  </si>
  <si>
    <t>Glass wool 24k</t>
  </si>
  <si>
    <t>Mineral wool 40k</t>
  </si>
  <si>
    <t>Sealant</t>
  </si>
  <si>
    <t>Volume</t>
  </si>
  <si>
    <t>Normal sealant 600ml</t>
  </si>
  <si>
    <t>Fire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</si>
  <si>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</si>
  <si>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</si>
  <si>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</si>
  <si>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</si>
  <si>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</si>
  <si>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</si>
  <si>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</si>
  <si>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</si>
  <si>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</si>
  <si>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</si>
  <si>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</si>
  <si>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</si>
  <si>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</si>
  <si>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</si>
  <si>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</si>
  <si>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</si>
  <si>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</si>
  <si>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</si>
  <si>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</si>
  <si>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</si>
  <si>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520010010000001</t>
  </si>
  <si>
    <t>520010020000001</t>
  </si>
  <si>
    <t>520010010000002</t>
  </si>
  <si>
    <t>520010010000003</t>
  </si>
  <si>
    <t>520010010000004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</si>
  <si>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</si>
  <si>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</si>
  <si>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</si>
  <si>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</si>
  <si>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</si>
  <si>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</si>
  <si>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</si>
  <si>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</si>
  <si>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</si>
  <si>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</si>
  <si>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</si>
  <si>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</si>
  <si>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</si>
  <si>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</si>
  <si>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</si>
  <si>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</si>
  <si>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</si>
  <si>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</si>
  <si>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100010020000005</t>
  </si>
  <si>
    <t>100010020000044</t>
  </si>
  <si>
    <t>100010020000070</t>
  </si>
  <si>
    <t>100170020000002</t>
  </si>
  <si>
    <t>100020021300001</t>
  </si>
  <si>
    <t>100180020000001</t>
  </si>
  <si>
    <t>100040020000002</t>
  </si>
  <si>
    <t>100040020000007</t>
  </si>
  <si>
    <t>100020020000009</t>
  </si>
  <si>
    <t>100020020000013</t>
  </si>
  <si>
    <t>100160020000009</t>
  </si>
  <si>
    <t>M2TECH 12mm 1200x2400</t>
  </si>
  <si>
    <t>100160020000011</t>
  </si>
  <si>
    <t>100090020000006</t>
  </si>
  <si>
    <t>100090020000005</t>
  </si>
  <si>
    <t>100090020000004</t>
  </si>
  <si>
    <t>100090020000008</t>
  </si>
  <si>
    <t>100090020000007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</si>
  <si>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</si>
  <si>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</si>
  <si>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</si>
  <si>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</si>
  <si>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</si>
  <si>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</si>
  <si>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</si>
  <si>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</si>
  <si>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</si>
  <si>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</si>
  <si>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</si>
  <si>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520088260000009</t>
  </si>
  <si>
    <t>520088260000010</t>
  </si>
  <si>
    <t>รหัสสินค้า</t>
  </si>
  <si>
    <t>ซอย</t>
  </si>
  <si>
    <t>เมน</t>
  </si>
  <si>
    <t>ระยะโครง:</t>
  </si>
  <si>
    <t>RG 9mm Foil 1200x2400</t>
  </si>
  <si>
    <t>RG 12mm Foil 1200x2400</t>
  </si>
  <si>
    <t>RG 15mm Foil 1200x2400</t>
  </si>
  <si>
    <t>100050020000001</t>
  </si>
  <si>
    <t>100050020000003</t>
  </si>
  <si>
    <t>100050020000004</t>
  </si>
  <si>
    <t>Gyptone Line 6 12.5mm 1200x2400 4</t>
  </si>
  <si>
    <t>Gyptone Line 6 12.5mm 1200x2400 2</t>
  </si>
  <si>
    <t>280020030000003</t>
  </si>
  <si>
    <t>280020030000004</t>
  </si>
  <si>
    <t>280020030000010</t>
  </si>
  <si>
    <t>280020030000009</t>
  </si>
  <si>
    <t>280020030000001</t>
  </si>
  <si>
    <t>280020030000002</t>
  </si>
  <si>
    <t>Gyptone Sixto 63 12.5mm 1200x2400 4</t>
  </si>
  <si>
    <t>Gyptone Sixto 63 12.5mm 1200x2400 2</t>
  </si>
  <si>
    <t>Gyptone Quattro 41 12.5mm 1200x2400 2</t>
  </si>
  <si>
    <t>Gyptone Quattro 41 12.5mm 1200x2400 4</t>
  </si>
  <si>
    <t>Gyptone Quattro 41 Activ 12.5mm 1200x2400 2</t>
  </si>
  <si>
    <t>Gyptone Quattro 41 Activ 12.5mm 1200x2400 4</t>
  </si>
  <si>
    <t>280020030000005</t>
  </si>
  <si>
    <t>280020030000006</t>
  </si>
  <si>
    <t>โครงคร่าวหลัก</t>
  </si>
  <si>
    <t>โครงคร่าวซอย</t>
  </si>
  <si>
    <t>ฉากริม</t>
  </si>
  <si>
    <t>สกรูยิงเหล็ก</t>
  </si>
  <si>
    <t>ตัวต่อโครง</t>
  </si>
  <si>
    <t>ชุดหิ้วโครง</t>
  </si>
  <si>
    <t>ฉากเหล็กสองรู</t>
  </si>
  <si>
    <t>สปริงสแตนเลส</t>
  </si>
  <si>
    <t>โครงลวด</t>
  </si>
  <si>
    <t>สกรูยิงบอร์ดชั้นใน</t>
  </si>
  <si>
    <t>พุกเหล็ก</t>
  </si>
  <si>
    <t>ตัวล็อคโครงคร่าว</t>
  </si>
  <si>
    <t>แผ่นยิปซัม</t>
  </si>
  <si>
    <t>ปูนฉาบรอยต่อ</t>
  </si>
  <si>
    <t>ผ้าเทปฉาบรอยต่อ</t>
  </si>
  <si>
    <t>ชุดแขวน        (หน่วยเมตร)</t>
  </si>
  <si>
    <t>SA1</t>
  </si>
  <si>
    <t>20x20</t>
  </si>
  <si>
    <t>520040070000001</t>
  </si>
  <si>
    <t>Fiber mesh 5I</t>
  </si>
  <si>
    <t>520080140000011</t>
  </si>
  <si>
    <t>ชุดแขวน</t>
  </si>
  <si>
    <t>พื้นที่แห้ง - Cotton tape
พื้นที่เปียก - Fiber mesh 5</t>
  </si>
  <si>
    <t xml:space="preserve">ฝ้าชายคา - Gypfill Superjoint
ฝ้าพื้นที่เปียกและแห้ง (ภายในอาคาร) - Gyproc Jointing </t>
  </si>
  <si>
    <t>สกรูต้องทะลุหลังแผ่น 10มม.
กรณี ThermaLine ใช้สกรู 75mm. ทุกความหนา</t>
  </si>
  <si>
    <t>ชนิดแผ่นยิปซั่ม</t>
  </si>
  <si>
    <t>โครงคร่าว</t>
  </si>
  <si>
    <t>ระยะโครงคร่าวและชุดแขวน (หน่วยเมตร)</t>
  </si>
  <si>
    <t>DU 16mm 1200x2400</t>
  </si>
  <si>
    <t>DU MR 16mm 1200x2400</t>
  </si>
  <si>
    <t>100020021600001</t>
  </si>
  <si>
    <t>100020021600004</t>
  </si>
  <si>
    <t>Drywall screw (1st layer)</t>
  </si>
  <si>
    <t>Drywall screw (2nd layer)</t>
  </si>
  <si>
    <t>ฝ้าเพดานฉาบเรียบ โครงคร่าวML50A</t>
  </si>
  <si>
    <t>X20 9.2mm 1200x2400</t>
  </si>
  <si>
    <t>100010020920001</t>
  </si>
  <si>
    <t>Revised 15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</si>
</sst>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4"/>
      <name val="AngsanaUPC"/>
    </font>
    <font>
      <b/>
      <sz val="14"/>
      <name val="AngsanaUPC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charset val="22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ngsanaUPC"/>
      <family val="1"/>
    </font>
    <font>
      <sz val="9"/>
      <color indexed="81"/>
      <name val="Tahoma"/>
    </font>
    <font>
      <b/>
      <sz val="9"/>
      <color indexed="81"/>
      <name val="Tahoma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9" fontId="3" fillId="22" borderId="0" xfId="0" applyNumberFormat="1" applyFont="1" applyFill="1" applyBorder="1" applyAlignment="1">
      <alignment horizontal="center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0" fillId="0" borderId="26" xfId="0" applyBorder="1"/>
    <xf numFmtId="0" fontId="0" fillId="24" borderId="27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2" fontId="0" fillId="25" borderId="0" xfId="0" applyNumberFormat="1" applyFill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2" fontId="0" fillId="0" borderId="31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7" fillId="1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2" fillId="18" borderId="0" xfId="0" applyFont="1" applyFill="1" applyAlignment="1"/>
    <xf numFmtId="0" fontId="0" fillId="0" borderId="27" xfId="0" applyBorder="1"/>
    <xf numFmtId="0" fontId="0" fillId="27" borderId="0" xfId="0" applyFill="1" applyAlignment="1">
      <alignment horizontal="center"/>
    </xf>
    <xf numFmtId="0" fontId="3" fillId="27" borderId="0" xfId="0" applyFont="1" applyFill="1" applyBorder="1" applyAlignment="1">
      <alignment horizontal="center"/>
    </xf>
    <xf numFmtId="0" fontId="2" fillId="27" borderId="0" xfId="0" applyFont="1" applyFill="1" applyAlignment="1">
      <alignment horizontal="left"/>
    </xf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8" xfId="0" applyFont="1" applyFill="1" applyBorder="1"/>
    <xf numFmtId="4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2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0" fontId="0" fillId="23" borderId="16" xfId="0" applyFill="1" applyBorder="1" applyAlignment="1">
      <alignment vertical="center" wrapText="1" shrinkToFit="1"/>
    </xf>
    <xf numFmtId="0" fontId="0" fillId="23" borderId="24" xfId="0" applyFill="1" applyBorder="1"/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  <xf numFmtId="0" fontId="1" fillId="23" borderId="16" xfId="0" applyFont="1" applyFill="1" applyBorder="1" applyAlignment="1">
      <alignment horizontal="centerContinuous"/>
    </xf>
    <xf numFmtId="0" fontId="1" fillId="19" borderId="16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19" borderId="16" xfId="0" applyFont="1" applyFill="1" applyBorder="1" applyAlignment="1">
      <alignment horizontal="left" wrapText="1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4" fontId="0" fillId="23" borderId="14" xfId="0" applyNumberFormat="1" applyFill="1" applyBorder="1" applyAlignment="1">
      <alignment horizontal="center"/>
    </xf>
    <xf numFmtId="0" fontId="0" fillId="23" borderId="14" xfId="0" applyFill="1" applyBorder="1" applyAlignment="1">
      <alignment horizontal="centerContinuous"/>
    </xf>
    <xf numFmtId="4" fontId="0" fillId="23" borderId="0" xfId="0" applyNumberFormat="1" applyFill="1" applyBorder="1" applyAlignment="1">
      <alignment horizontal="center"/>
    </xf>
    <xf numFmtId="0" fontId="0" fillId="23" borderId="0" xfId="0" applyFill="1" applyBorder="1" applyAlignment="1">
      <alignment horizontal="centerContinuous"/>
    </xf>
    <xf numFmtId="0" fontId="0" fillId="0" borderId="36" xfId="0" applyBorder="1"/>
    <xf numFmtId="0" fontId="0" fillId="0" borderId="37" xfId="0" applyBorder="1"/>
    <xf numFmtId="0" fontId="36" fillId="0" borderId="35" xfId="0" applyFont="1" applyBorder="1"/>
    <xf numFmtId="0" fontId="36" fillId="0" borderId="27" xfId="0" applyFont="1" applyBorder="1"/>
    <xf numFmtId="0" fontId="36" fillId="0" borderId="27" xfId="0" applyFont="1" applyFill="1" applyBorder="1" applyAlignment="1">
      <alignment horizontal="center"/>
    </xf>
    <xf numFmtId="0" fontId="2" fillId="27" borderId="27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32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1" fillId="20" borderId="34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52274"/>
            <a:gd name="adj2" fmla="val -577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7" t="s">
        <v>61</v>
      </c>
      <c r="B3" s="137"/>
      <c r="C3" s="137"/>
      <c r="D3" s="137"/>
      <c r="E3" s="137"/>
      <c r="F3" s="137"/>
      <c r="G3" s="137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38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39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40" t="s">
        <v>44</v>
      </c>
    </row>
    <row r="17" spans="1:7" x14ac:dyDescent="0.5">
      <c r="A17" s="1"/>
      <c r="B17" s="5"/>
      <c r="C17" s="10"/>
      <c r="D17" s="7"/>
      <c r="E17" s="7"/>
      <c r="F17" s="9"/>
      <c r="G17" s="141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7" t="s">
        <v>67</v>
      </c>
      <c r="B3" s="137"/>
      <c r="C3" s="137"/>
      <c r="D3" s="137"/>
      <c r="E3" s="137"/>
      <c r="F3" s="137"/>
      <c r="G3" s="137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38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39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42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42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42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7" t="s">
        <v>59</v>
      </c>
      <c r="B3" s="137"/>
      <c r="C3" s="137"/>
      <c r="D3" s="137"/>
      <c r="E3" s="137"/>
      <c r="F3" s="137"/>
      <c r="G3" s="137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38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39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42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42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42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40"/>
  <sheetViews>
    <sheetView tabSelected="1" zoomScale="85" zoomScaleNormal="85" workbookViewId="0">
      <selection activeCell="J4" sqref="J4"/>
    </sheetView>
  </sheetViews>
  <sheetFormatPr defaultRowHeight="19.8" x14ac:dyDescent="0.5"/>
  <cols>
    <col min="1" max="1" width="20.125" customWidth="1"/>
    <col min="2" max="2" width="17.125" customWidth="1"/>
    <col min="3" max="3" width="28.37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9.375" customWidth="1"/>
    <col min="14" max="14" width="12" customWidth="1"/>
    <col min="15" max="15" width="41.625" customWidth="1"/>
    <col min="16" max="18" width="15.375" customWidth="1"/>
    <col min="20" max="20" width="8.375" customWidth="1"/>
  </cols>
  <sheetData>
    <row r="1" spans="1:19" ht="23.4" x14ac:dyDescent="0.6">
      <c r="B1" s="143" t="s">
        <v>14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137" t="s">
        <v>287</v>
      </c>
      <c r="C3" s="137"/>
      <c r="D3" s="137"/>
      <c r="E3" s="137"/>
      <c r="F3" s="137"/>
      <c r="G3" s="137"/>
      <c r="H3" s="137"/>
      <c r="I3" s="137"/>
      <c r="J3" s="137"/>
      <c r="K3" s="137"/>
      <c r="M3" s="4"/>
    </row>
    <row r="4" spans="1:19" ht="31.5" customHeight="1" x14ac:dyDescent="0.6">
      <c r="A4" s="147" t="s">
        <v>6</v>
      </c>
      <c r="B4" s="147"/>
      <c r="C4" s="147"/>
      <c r="D4" s="26"/>
      <c r="E4" s="26"/>
      <c r="F4" s="26"/>
      <c r="G4" s="26"/>
      <c r="H4" s="27"/>
      <c r="I4" s="59" t="s">
        <v>69</v>
      </c>
      <c r="J4" s="60">
        <v>4</v>
      </c>
      <c r="K4" s="62" t="s">
        <v>73</v>
      </c>
      <c r="M4" s="4"/>
    </row>
    <row r="5" spans="1:19" ht="32.4" x14ac:dyDescent="0.85">
      <c r="A5" s="146" t="s">
        <v>27</v>
      </c>
      <c r="B5" s="146"/>
      <c r="C5" s="146"/>
      <c r="D5" s="103">
        <f>$J$4*$J$5</f>
        <v>16</v>
      </c>
      <c r="E5" s="29" t="s">
        <v>19</v>
      </c>
      <c r="F5" s="29"/>
      <c r="G5" s="29"/>
      <c r="H5" s="27"/>
      <c r="I5" s="59" t="s">
        <v>70</v>
      </c>
      <c r="J5" s="60">
        <v>4</v>
      </c>
      <c r="K5" s="62" t="s">
        <v>73</v>
      </c>
      <c r="M5" s="4"/>
      <c r="S5" s="61"/>
    </row>
    <row r="6" spans="1:19" ht="32.4" x14ac:dyDescent="0.85">
      <c r="A6" s="94" t="s">
        <v>34</v>
      </c>
      <c r="B6" s="94"/>
      <c r="C6" s="94"/>
      <c r="D6" s="45">
        <f>+D5</f>
        <v>16</v>
      </c>
      <c r="E6" s="94" t="s">
        <v>20</v>
      </c>
      <c r="F6" s="94"/>
      <c r="G6" s="94"/>
      <c r="H6" s="98" t="s">
        <v>230</v>
      </c>
      <c r="I6" s="96" t="s">
        <v>228</v>
      </c>
      <c r="J6" s="97" t="s">
        <v>229</v>
      </c>
      <c r="K6" s="62" t="s">
        <v>268</v>
      </c>
      <c r="M6" s="4"/>
      <c r="S6" s="61"/>
    </row>
    <row r="7" spans="1:19" ht="32.4" x14ac:dyDescent="0.85">
      <c r="A7" s="146" t="s">
        <v>72</v>
      </c>
      <c r="B7" s="146"/>
      <c r="C7" s="146"/>
      <c r="D7" s="65">
        <v>1</v>
      </c>
      <c r="E7" s="29" t="s">
        <v>73</v>
      </c>
      <c r="F7" s="29"/>
      <c r="G7" s="29"/>
      <c r="H7" s="95"/>
      <c r="I7" s="100">
        <v>0.4</v>
      </c>
      <c r="J7" s="101">
        <v>1.2</v>
      </c>
      <c r="K7" s="102">
        <v>1.2</v>
      </c>
      <c r="M7" s="4"/>
    </row>
    <row r="8" spans="1:19" ht="21" thickBot="1" x14ac:dyDescent="0.6">
      <c r="A8" s="95"/>
      <c r="B8" s="95"/>
      <c r="C8" s="95"/>
      <c r="D8" s="95"/>
      <c r="E8" s="95"/>
      <c r="F8" s="29"/>
      <c r="G8" s="29"/>
      <c r="H8" s="30"/>
      <c r="I8" s="63" t="s">
        <v>71</v>
      </c>
      <c r="J8" s="64">
        <v>0.05</v>
      </c>
      <c r="K8" s="33" t="s">
        <v>290</v>
      </c>
      <c r="M8" s="4"/>
      <c r="N8" s="133" t="s">
        <v>280</v>
      </c>
      <c r="O8" s="131"/>
      <c r="P8" s="131"/>
      <c r="Q8" s="131"/>
      <c r="R8" s="132"/>
    </row>
    <row r="9" spans="1:19" ht="21" thickBot="1" x14ac:dyDescent="0.6">
      <c r="A9" s="92" t="s">
        <v>227</v>
      </c>
      <c r="B9" s="144" t="s">
        <v>0</v>
      </c>
      <c r="C9" s="145"/>
      <c r="D9" s="47" t="s">
        <v>1</v>
      </c>
      <c r="E9" s="47" t="s">
        <v>74</v>
      </c>
      <c r="F9" s="67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134" t="s">
        <v>279</v>
      </c>
      <c r="O9" s="134" t="s">
        <v>278</v>
      </c>
      <c r="P9" s="135" t="s">
        <v>228</v>
      </c>
      <c r="Q9" s="135" t="s">
        <v>229</v>
      </c>
      <c r="R9" s="135" t="s">
        <v>274</v>
      </c>
    </row>
    <row r="10" spans="1:19" x14ac:dyDescent="0.5">
      <c r="A10" s="104" t="str">
        <f>IFERROR(VLOOKUP($C10,Data!$A14:$I17,9,),0)</f>
        <v>520040020000004</v>
      </c>
      <c r="B10" s="105" t="s">
        <v>253</v>
      </c>
      <c r="C10" s="106" t="s">
        <v>91</v>
      </c>
      <c r="D10" s="107" t="s">
        <v>30</v>
      </c>
      <c r="E10" s="108">
        <f>IFERROR(VLOOKUP($C10,Data!$A14:$H17,7,),0)</f>
        <v>4.2</v>
      </c>
      <c r="F10" s="109">
        <f>$E10/$D$5</f>
        <v>0.26250000000000001</v>
      </c>
      <c r="G10" s="109">
        <f>IFERROR(VLOOKUP($C10,Data!$A14:$H17,5,),0)*E10</f>
        <v>4.5780000000000003</v>
      </c>
      <c r="H10" s="110">
        <f>IFERROR(VLOOKUP($C10,Data!$A14:$H17,6,),0)</f>
        <v>98</v>
      </c>
      <c r="I10" s="111"/>
      <c r="J10" s="112">
        <f>+(H10-(H10*I10))*E10</f>
        <v>411.6</v>
      </c>
      <c r="K10" s="113"/>
      <c r="M10" s="4"/>
      <c r="N10" s="99" t="s">
        <v>91</v>
      </c>
      <c r="O10" s="99" t="s">
        <v>118</v>
      </c>
      <c r="P10" s="136">
        <v>0.4</v>
      </c>
      <c r="Q10" s="136">
        <v>1.2</v>
      </c>
      <c r="R10" s="136">
        <v>1.2</v>
      </c>
    </row>
    <row r="11" spans="1:19" x14ac:dyDescent="0.5">
      <c r="A11" s="104" t="str">
        <f>IFERROR(VLOOKUP($C11,Data!$A19:$I22,9,),0)</f>
        <v>520040020000004</v>
      </c>
      <c r="B11" s="114" t="s">
        <v>254</v>
      </c>
      <c r="C11" s="115" t="s">
        <v>91</v>
      </c>
      <c r="D11" s="107" t="s">
        <v>30</v>
      </c>
      <c r="E11" s="108">
        <f>IFERROR(VLOOKUP($C11,Data!$A19:$H22,7,),0)</f>
        <v>11.55</v>
      </c>
      <c r="F11" s="109">
        <f t="shared" ref="F11:F24" si="0">$E11/$D$5</f>
        <v>0.72187500000000004</v>
      </c>
      <c r="G11" s="109">
        <f>IFERROR(VLOOKUP($C11,Data!$A19:$H22,5,),0)*E11</f>
        <v>12.589500000000001</v>
      </c>
      <c r="H11" s="110">
        <f>IFERROR(VLOOKUP($C11,Data!$A19:$H22,6,),0)</f>
        <v>98</v>
      </c>
      <c r="I11" s="111"/>
      <c r="J11" s="112">
        <f t="shared" ref="J11:J24" si="1">+(H11-(H11*I11))*E11</f>
        <v>1131.9000000000001</v>
      </c>
      <c r="K11" s="116"/>
      <c r="M11" s="4"/>
      <c r="N11" s="99" t="s">
        <v>91</v>
      </c>
      <c r="O11" s="99" t="s">
        <v>119</v>
      </c>
      <c r="P11" s="136">
        <v>0.6</v>
      </c>
      <c r="Q11" s="136">
        <v>1</v>
      </c>
      <c r="R11" s="136">
        <v>1</v>
      </c>
    </row>
    <row r="12" spans="1:19" x14ac:dyDescent="0.5">
      <c r="A12" s="104" t="str">
        <f>IFERROR(VLOOKUP($C12,Data!$A47:$I49,9,),0)</f>
        <v>520040050000003</v>
      </c>
      <c r="B12" s="117" t="s">
        <v>255</v>
      </c>
      <c r="C12" s="115" t="s">
        <v>161</v>
      </c>
      <c r="D12" s="107" t="s">
        <v>25</v>
      </c>
      <c r="E12" s="108">
        <f>IFERROR(VLOOKUP($C12,Data!$A47:$H49,7,),0)</f>
        <v>7.3500000000000005</v>
      </c>
      <c r="F12" s="109">
        <f t="shared" si="0"/>
        <v>0.45937500000000003</v>
      </c>
      <c r="G12" s="109">
        <f>IFERROR(VLOOKUP($C12,Data!$A47:$H49,5,),0)*E12</f>
        <v>3.1605000000000003</v>
      </c>
      <c r="H12" s="110">
        <f>IFERROR(VLOOKUP($C12,Data!$A47:$H49,6,),0)</f>
        <v>36</v>
      </c>
      <c r="I12" s="111"/>
      <c r="J12" s="112">
        <f t="shared" si="1"/>
        <v>264.60000000000002</v>
      </c>
      <c r="K12" s="118"/>
      <c r="M12" s="4"/>
      <c r="N12" s="99" t="s">
        <v>91</v>
      </c>
      <c r="O12" s="99" t="s">
        <v>120</v>
      </c>
      <c r="P12" s="136">
        <v>0.6</v>
      </c>
      <c r="Q12" s="136">
        <v>0.9</v>
      </c>
      <c r="R12" s="136">
        <v>1</v>
      </c>
    </row>
    <row r="13" spans="1:19" x14ac:dyDescent="0.5">
      <c r="A13" s="104" t="str">
        <f>IFERROR(VLOOKUP($C13,Data!$A113:$I114,9,),0)</f>
        <v>520080080000004</v>
      </c>
      <c r="B13" s="119" t="s">
        <v>256</v>
      </c>
      <c r="C13" s="115" t="s">
        <v>141</v>
      </c>
      <c r="D13" s="107" t="s">
        <v>4</v>
      </c>
      <c r="E13" s="108">
        <f>IFERROR(VLOOKUP($C13,Data!$A113:$H114,7,),0)</f>
        <v>1.9739999999999997E-2</v>
      </c>
      <c r="F13" s="109">
        <f t="shared" si="0"/>
        <v>1.2337499999999998E-3</v>
      </c>
      <c r="G13" s="109">
        <f>IFERROR(VLOOKUP($C13,Data!$A113:$H114,5,),0)*E13</f>
        <v>1.9739999999999997E-2</v>
      </c>
      <c r="H13" s="110">
        <f>IFERROR(VLOOKUP($C13,Data!$A113:$H114,6,),0)</f>
        <v>320</v>
      </c>
      <c r="I13" s="111"/>
      <c r="J13" s="112">
        <f t="shared" si="1"/>
        <v>6.3167999999999989</v>
      </c>
      <c r="K13" s="118"/>
      <c r="N13" s="99" t="s">
        <v>91</v>
      </c>
      <c r="O13" s="99" t="s">
        <v>288</v>
      </c>
      <c r="P13" s="136">
        <v>0.4</v>
      </c>
      <c r="Q13" s="136">
        <v>1.2</v>
      </c>
      <c r="R13" s="136">
        <v>1.2</v>
      </c>
    </row>
    <row r="14" spans="1:19" x14ac:dyDescent="0.5">
      <c r="A14" s="104" t="str">
        <f>IFERROR(VLOOKUP($C14,Data!$A29:$I31,9,),0)</f>
        <v>520088240000001</v>
      </c>
      <c r="B14" s="117" t="s">
        <v>257</v>
      </c>
      <c r="C14" s="115" t="s">
        <v>98</v>
      </c>
      <c r="D14" s="107" t="s">
        <v>3</v>
      </c>
      <c r="E14" s="108">
        <f>IFERROR(VLOOKUP($C14,Data!$A29:$H31,7,),0)</f>
        <v>14.5</v>
      </c>
      <c r="F14" s="109">
        <f>$E14/$D$5</f>
        <v>0.90625</v>
      </c>
      <c r="G14" s="109">
        <f>IFERROR(VLOOKUP($C14,Data!$A29:$H31,5,),0)*E14</f>
        <v>0.435</v>
      </c>
      <c r="H14" s="110">
        <f>IFERROR(VLOOKUP($C14,Data!$A29:$H31,6,),0)</f>
        <v>5.5</v>
      </c>
      <c r="I14" s="111"/>
      <c r="J14" s="112">
        <f t="shared" si="1"/>
        <v>79.75</v>
      </c>
      <c r="K14" s="118"/>
      <c r="N14" s="99" t="s">
        <v>91</v>
      </c>
      <c r="O14" s="99" t="s">
        <v>231</v>
      </c>
      <c r="P14" s="136">
        <v>0.4</v>
      </c>
      <c r="Q14" s="136">
        <v>1.2</v>
      </c>
      <c r="R14" s="136">
        <v>1.2</v>
      </c>
    </row>
    <row r="15" spans="1:19" x14ac:dyDescent="0.5">
      <c r="A15" s="104" t="str">
        <f>IFERROR(VLOOKUP($C15,Data!$A33:$I36,9,),0)</f>
        <v>520088220000001</v>
      </c>
      <c r="B15" s="119" t="s">
        <v>258</v>
      </c>
      <c r="C15" s="115" t="s">
        <v>92</v>
      </c>
      <c r="D15" s="107" t="s">
        <v>3</v>
      </c>
      <c r="E15" s="108">
        <f>IFERROR(VLOOKUP($C15,Data!$A33:$H366,7,),0)</f>
        <v>12.600000000000001</v>
      </c>
      <c r="F15" s="109">
        <f t="shared" si="0"/>
        <v>0.78750000000000009</v>
      </c>
      <c r="G15" s="109">
        <f>IFERROR(VLOOKUP($C15,Data!$A33:$H366,5,),0)*E15</f>
        <v>0.63000000000000012</v>
      </c>
      <c r="H15" s="110">
        <f>IFERROR(VLOOKUP($C15,Data!$A33:$H366,6,),0)</f>
        <v>4</v>
      </c>
      <c r="I15" s="111"/>
      <c r="J15" s="112">
        <f t="shared" si="1"/>
        <v>50.400000000000006</v>
      </c>
      <c r="K15" s="118"/>
      <c r="N15" s="99" t="s">
        <v>91</v>
      </c>
      <c r="O15" s="99" t="s">
        <v>232</v>
      </c>
      <c r="P15" s="136">
        <v>0.6</v>
      </c>
      <c r="Q15" s="136">
        <v>1</v>
      </c>
      <c r="R15" s="136">
        <v>1</v>
      </c>
    </row>
    <row r="16" spans="1:19" x14ac:dyDescent="0.5">
      <c r="A16" s="104" t="str">
        <f>IFERROR(VLOOKUP($C16,Data!$A38:$I39,9,),0)</f>
        <v>520080050000001</v>
      </c>
      <c r="B16" s="114" t="s">
        <v>259</v>
      </c>
      <c r="C16" s="115" t="s">
        <v>93</v>
      </c>
      <c r="D16" s="107" t="s">
        <v>3</v>
      </c>
      <c r="E16" s="108">
        <f>IFERROR(VLOOKUP($C16,Data!$A38:$H39,7,),0)</f>
        <v>12.600000000000001</v>
      </c>
      <c r="F16" s="109">
        <f t="shared" si="0"/>
        <v>0.78750000000000009</v>
      </c>
      <c r="G16" s="109">
        <f>IFERROR(VLOOKUP($C16,Data!$A38:$H39,5,),0)*E16</f>
        <v>0.2268</v>
      </c>
      <c r="H16" s="110">
        <f>IFERROR(VLOOKUP($C16,Data!$A38:$H39,6,),0)</f>
        <v>2.25</v>
      </c>
      <c r="I16" s="111"/>
      <c r="J16" s="112">
        <f t="shared" si="1"/>
        <v>28.35</v>
      </c>
      <c r="K16" s="118"/>
      <c r="N16" s="99" t="s">
        <v>91</v>
      </c>
      <c r="O16" s="99" t="s">
        <v>233</v>
      </c>
      <c r="P16" s="136">
        <v>0.6</v>
      </c>
      <c r="Q16" s="136">
        <v>0.9</v>
      </c>
      <c r="R16" s="136">
        <v>1</v>
      </c>
    </row>
    <row r="17" spans="1:18" x14ac:dyDescent="0.5">
      <c r="A17" s="104" t="str">
        <f>IFERROR(VLOOKUP($C17,Data!$A41:$I42,9,),0)</f>
        <v>520080030000003</v>
      </c>
      <c r="B17" s="117" t="s">
        <v>260</v>
      </c>
      <c r="C17" s="115" t="s">
        <v>95</v>
      </c>
      <c r="D17" s="107" t="s">
        <v>3</v>
      </c>
      <c r="E17" s="108">
        <f>IFERROR(VLOOKUP($C17,Data!$A41:$H42,7,),0)</f>
        <v>12.600000000000001</v>
      </c>
      <c r="F17" s="109">
        <f t="shared" si="0"/>
        <v>0.78750000000000009</v>
      </c>
      <c r="G17" s="109">
        <f>IFERROR(VLOOKUP($C17,Data!$A41:$H42,5,),0)*E17</f>
        <v>0.1134</v>
      </c>
      <c r="H17" s="110">
        <f>IFERROR(VLOOKUP($C17,Data!$A41:$H42,6,),0)</f>
        <v>6</v>
      </c>
      <c r="I17" s="111"/>
      <c r="J17" s="112">
        <f t="shared" si="1"/>
        <v>75.600000000000009</v>
      </c>
      <c r="K17" s="118"/>
      <c r="N17" s="99" t="s">
        <v>91</v>
      </c>
      <c r="O17" s="99" t="s">
        <v>237</v>
      </c>
      <c r="P17" s="136">
        <v>0.6</v>
      </c>
      <c r="Q17" s="136">
        <v>0.6</v>
      </c>
      <c r="R17" s="136">
        <v>1.2</v>
      </c>
    </row>
    <row r="18" spans="1:18" x14ac:dyDescent="0.5">
      <c r="A18" s="104" t="str">
        <f>IFERROR(VLOOKUP($C18,Data!$A44:$I45,9,),0)</f>
        <v>520080010000001</v>
      </c>
      <c r="B18" s="117" t="s">
        <v>261</v>
      </c>
      <c r="C18" s="115" t="s">
        <v>171</v>
      </c>
      <c r="D18" s="107" t="s">
        <v>36</v>
      </c>
      <c r="E18" s="108">
        <f>IFERROR(VLOOKUP($C18,Data!$A36:$H369,7,),0)</f>
        <v>4.2</v>
      </c>
      <c r="F18" s="109">
        <f t="shared" si="0"/>
        <v>0.26250000000000001</v>
      </c>
      <c r="G18" s="109">
        <f>IFERROR(VLOOKUP($C18,Data!$A36:$H369,5,),0)*E18</f>
        <v>1.26</v>
      </c>
      <c r="H18" s="110">
        <f>IFERROR(VLOOKUP($C18,Data!$A36:$H369,6,),0)</f>
        <v>20</v>
      </c>
      <c r="I18" s="111"/>
      <c r="J18" s="112">
        <f t="shared" si="1"/>
        <v>84</v>
      </c>
      <c r="K18" s="118"/>
      <c r="N18" s="99" t="s">
        <v>91</v>
      </c>
      <c r="O18" s="99" t="s">
        <v>238</v>
      </c>
      <c r="P18" s="136">
        <v>0.6</v>
      </c>
      <c r="Q18" s="136">
        <v>0.6</v>
      </c>
      <c r="R18" s="136">
        <v>1.2</v>
      </c>
    </row>
    <row r="19" spans="1:18" ht="43.2" customHeight="1" x14ac:dyDescent="0.55000000000000004">
      <c r="A19" s="93" t="str">
        <f>IFERROR(VLOOKUP($C19,Data!$A98:$I104,9,),0)</f>
        <v>520080080000005</v>
      </c>
      <c r="B19" s="69" t="s">
        <v>262</v>
      </c>
      <c r="C19" s="41" t="s">
        <v>138</v>
      </c>
      <c r="D19" s="5" t="s">
        <v>4</v>
      </c>
      <c r="E19" s="10">
        <f>IFERROR(VLOOKUP($C19,Data!$A98:$H104,7,),0)</f>
        <v>0.65333333333333332</v>
      </c>
      <c r="F19" s="66">
        <f t="shared" si="0"/>
        <v>4.0833333333333333E-2</v>
      </c>
      <c r="G19" s="66">
        <f>IFERROR(VLOOKUP($C19,Data!$A98:$H104,5,),0)*E19</f>
        <v>0.65333333333333332</v>
      </c>
      <c r="H19" s="7">
        <f>IFERROR(VLOOKUP($C19,Data!$A98:$H104,6,),0)</f>
        <v>115</v>
      </c>
      <c r="I19" s="51"/>
      <c r="J19" s="9">
        <f t="shared" si="1"/>
        <v>75.133333333333326</v>
      </c>
      <c r="K19" s="124" t="s">
        <v>277</v>
      </c>
      <c r="N19" s="99" t="s">
        <v>91</v>
      </c>
      <c r="O19" s="99" t="s">
        <v>250</v>
      </c>
      <c r="P19" s="136">
        <v>0.6</v>
      </c>
      <c r="Q19" s="136">
        <v>0.6</v>
      </c>
      <c r="R19" s="136">
        <v>1.2</v>
      </c>
    </row>
    <row r="20" spans="1:18" ht="19.8" customHeight="1" x14ac:dyDescent="0.5">
      <c r="A20" s="104" t="str">
        <f>IFERROR(VLOOKUP($C20,Data!$A95:$I96,9,),0)</f>
        <v>520080070000001</v>
      </c>
      <c r="B20" s="117" t="s">
        <v>263</v>
      </c>
      <c r="C20" s="115" t="s">
        <v>102</v>
      </c>
      <c r="D20" s="107" t="s">
        <v>75</v>
      </c>
      <c r="E20" s="108">
        <f>IFERROR(VLOOKUP($C20,Data!$A95:$H96,7,),0)</f>
        <v>69.3</v>
      </c>
      <c r="F20" s="109">
        <f t="shared" si="0"/>
        <v>4.3312499999999998</v>
      </c>
      <c r="G20" s="109">
        <f>IFERROR(VLOOKUP($C20,Data!$A95:$H96,5,),0)*E20</f>
        <v>0.69299999999999995</v>
      </c>
      <c r="H20" s="110">
        <f>IFERROR(VLOOKUP($C20,Data!$A95:$H96,6,),0)</f>
        <v>2</v>
      </c>
      <c r="I20" s="111"/>
      <c r="J20" s="112">
        <f t="shared" si="1"/>
        <v>138.6</v>
      </c>
      <c r="K20" s="120"/>
      <c r="N20" s="99" t="s">
        <v>91</v>
      </c>
      <c r="O20" s="99" t="s">
        <v>249</v>
      </c>
      <c r="P20" s="136">
        <v>0.6</v>
      </c>
      <c r="Q20" s="136">
        <v>0.6</v>
      </c>
      <c r="R20" s="136">
        <v>1.2</v>
      </c>
    </row>
    <row r="21" spans="1:18" ht="20.399999999999999" x14ac:dyDescent="0.55000000000000004">
      <c r="A21" s="104" t="str">
        <f>IFERROR(VLOOKUP($C21,Data!$A24:$I27,9,),0)</f>
        <v>520080110000007</v>
      </c>
      <c r="B21" s="119" t="s">
        <v>264</v>
      </c>
      <c r="C21" s="115" t="s">
        <v>103</v>
      </c>
      <c r="D21" s="107" t="s">
        <v>3</v>
      </c>
      <c r="E21" s="108">
        <f>IFERROR(VLOOKUP($C21,Data!$A24:$H27,7,),0)</f>
        <v>35.700000000000003</v>
      </c>
      <c r="F21" s="109">
        <f t="shared" si="0"/>
        <v>2.2312500000000002</v>
      </c>
      <c r="G21" s="109">
        <f>IFERROR(VLOOKUP($C21,Data!$A24:$H27,5,),0)*E21</f>
        <v>0.71400000000000008</v>
      </c>
      <c r="H21" s="110">
        <f>IFERROR(VLOOKUP($C21,Data!$A24:$H27,6,),0)</f>
        <v>3.75</v>
      </c>
      <c r="I21" s="111"/>
      <c r="J21" s="112">
        <f t="shared" si="1"/>
        <v>133.875</v>
      </c>
      <c r="K21" s="121"/>
      <c r="N21" s="99" t="s">
        <v>91</v>
      </c>
      <c r="O21" s="99" t="s">
        <v>248</v>
      </c>
      <c r="P21" s="136">
        <v>0.6</v>
      </c>
      <c r="Q21" s="136">
        <v>0.6</v>
      </c>
      <c r="R21" s="136">
        <v>1.2</v>
      </c>
    </row>
    <row r="22" spans="1:18" ht="20.399999999999999" x14ac:dyDescent="0.55000000000000004">
      <c r="A22" s="93" t="str">
        <f>IFERROR(VLOOKUP($C22,Data!$A51:$I93,9,),0)</f>
        <v>100090020000004</v>
      </c>
      <c r="B22" s="68" t="s">
        <v>265</v>
      </c>
      <c r="C22" s="41" t="s">
        <v>129</v>
      </c>
      <c r="D22" s="79" t="s">
        <v>172</v>
      </c>
      <c r="E22" s="10">
        <f>IFERROR(VLOOKUP($C22,Data!$A51:$H93,7,),0)</f>
        <v>6.3000000000000007</v>
      </c>
      <c r="F22" s="66">
        <f t="shared" si="0"/>
        <v>0.39375000000000004</v>
      </c>
      <c r="G22" s="66">
        <f>IFERROR(VLOOKUP($C22,Data!$A51:$H93,5,),0)*E22</f>
        <v>139.86000000000001</v>
      </c>
      <c r="H22" s="7">
        <f>IFERROR(VLOOKUP($C22,Data!$A51:$H93,6,),0)</f>
        <v>1990</v>
      </c>
      <c r="I22" s="51"/>
      <c r="J22" s="9">
        <f t="shared" si="1"/>
        <v>12537.000000000002</v>
      </c>
      <c r="K22" s="35"/>
      <c r="N22" s="99" t="s">
        <v>91</v>
      </c>
      <c r="O22" s="99" t="s">
        <v>247</v>
      </c>
      <c r="P22" s="136">
        <v>0.6</v>
      </c>
      <c r="Q22" s="136">
        <v>0.6</v>
      </c>
      <c r="R22" s="136">
        <v>1.2</v>
      </c>
    </row>
    <row r="23" spans="1:18" ht="51.6" customHeight="1" x14ac:dyDescent="0.55000000000000004">
      <c r="A23" s="93" t="str">
        <f>IFERROR(VLOOKUP($C23,Data!$A117:$I119,9,),0)</f>
        <v>410010010100001</v>
      </c>
      <c r="B23" s="69" t="s">
        <v>266</v>
      </c>
      <c r="C23" s="70" t="s">
        <v>143</v>
      </c>
      <c r="D23" s="34" t="s">
        <v>11</v>
      </c>
      <c r="E23" s="10">
        <f>IFERROR(VLOOKUP($C23,Data!$A117:$H119,7,),0)</f>
        <v>0.252</v>
      </c>
      <c r="F23" s="66">
        <f t="shared" si="0"/>
        <v>1.575E-2</v>
      </c>
      <c r="G23" s="66">
        <f>IFERROR(VLOOKUP($C23,Data!$A117:$H119,5,),0)*E23</f>
        <v>6.3</v>
      </c>
      <c r="H23" s="7">
        <f>IFERROR(VLOOKUP($C23,Data!$A117:$H119,6,),0)</f>
        <v>212</v>
      </c>
      <c r="I23" s="51"/>
      <c r="J23" s="9">
        <f t="shared" si="1"/>
        <v>53.423999999999999</v>
      </c>
      <c r="K23" s="123" t="s">
        <v>276</v>
      </c>
      <c r="N23" s="99" t="s">
        <v>91</v>
      </c>
      <c r="O23" s="99" t="s">
        <v>245</v>
      </c>
      <c r="P23" s="136">
        <v>0.6</v>
      </c>
      <c r="Q23" s="136">
        <v>0.6</v>
      </c>
      <c r="R23" s="136">
        <v>1.2</v>
      </c>
    </row>
    <row r="24" spans="1:18" ht="40.799999999999997" x14ac:dyDescent="0.55000000000000004">
      <c r="A24" s="93" t="str">
        <f>IFERROR(VLOOKUP($C24,Data!$A121:$I123,9,),0)</f>
        <v>520080140000001</v>
      </c>
      <c r="B24" s="69" t="s">
        <v>267</v>
      </c>
      <c r="C24" s="70" t="s">
        <v>106</v>
      </c>
      <c r="D24" s="21" t="s">
        <v>12</v>
      </c>
      <c r="E24" s="10">
        <f>IFERROR(VLOOKUP($C24,Data!$A121:$H123,7,),0)</f>
        <v>1.05</v>
      </c>
      <c r="F24" s="66">
        <f t="shared" si="0"/>
        <v>6.5625000000000003E-2</v>
      </c>
      <c r="G24" s="66">
        <f>IFERROR(VLOOKUP($C24,Data!$A121:$H123,5,),0)*E24</f>
        <v>0.26250000000000001</v>
      </c>
      <c r="H24" s="7">
        <f>IFERROR(VLOOKUP($C24,Data!$A121:$H123,6,),0)</f>
        <v>37</v>
      </c>
      <c r="I24" s="51"/>
      <c r="J24" s="9">
        <f t="shared" si="1"/>
        <v>38.85</v>
      </c>
      <c r="K24" s="122" t="s">
        <v>275</v>
      </c>
      <c r="N24" s="99" t="s">
        <v>91</v>
      </c>
      <c r="O24" s="99" t="s">
        <v>246</v>
      </c>
      <c r="P24" s="136">
        <v>0.6</v>
      </c>
      <c r="Q24" s="136">
        <v>0.6</v>
      </c>
      <c r="R24" s="136">
        <v>1.2</v>
      </c>
    </row>
    <row r="25" spans="1:18" x14ac:dyDescent="0.5">
      <c r="A25" s="91"/>
      <c r="B25" s="80"/>
      <c r="C25" s="82"/>
      <c r="D25" s="83"/>
      <c r="E25" s="84"/>
      <c r="F25" s="85"/>
      <c r="G25" s="85"/>
      <c r="H25" s="86"/>
      <c r="I25" s="87"/>
      <c r="J25" s="88"/>
      <c r="K25" s="38"/>
      <c r="N25" s="99" t="s">
        <v>91</v>
      </c>
      <c r="O25" s="99" t="s">
        <v>121</v>
      </c>
      <c r="P25" s="136">
        <v>0.6</v>
      </c>
      <c r="Q25" s="136">
        <v>0.9</v>
      </c>
      <c r="R25" s="136">
        <v>1</v>
      </c>
    </row>
    <row r="26" spans="1:18" ht="20.399999999999999" thickBot="1" x14ac:dyDescent="0.55000000000000004">
      <c r="A26" s="49"/>
      <c r="B26" s="71"/>
      <c r="C26" s="53"/>
      <c r="D26" s="13"/>
      <c r="E26" s="13"/>
      <c r="F26" s="13"/>
      <c r="G26" s="13"/>
      <c r="H26" s="13"/>
      <c r="I26" s="13" t="s">
        <v>45</v>
      </c>
      <c r="J26" s="13"/>
      <c r="K26" s="39"/>
      <c r="N26" s="99" t="s">
        <v>91</v>
      </c>
      <c r="O26" s="99" t="s">
        <v>281</v>
      </c>
      <c r="P26" s="136">
        <v>0.6</v>
      </c>
      <c r="Q26" s="136">
        <v>0.8</v>
      </c>
      <c r="R26" s="136">
        <v>1</v>
      </c>
    </row>
    <row r="27" spans="1:18" ht="21" thickBot="1" x14ac:dyDescent="0.6">
      <c r="A27" s="14" t="s">
        <v>8</v>
      </c>
      <c r="E27" s="15"/>
      <c r="F27" s="125" t="s">
        <v>79</v>
      </c>
      <c r="G27" s="126">
        <f>SUM(G10:G26)</f>
        <v>171.49577333333335</v>
      </c>
      <c r="H27" s="125" t="s">
        <v>82</v>
      </c>
      <c r="I27" s="95"/>
      <c r="J27" s="127">
        <f>SUM($J10:$J26)</f>
        <v>15109.399133333336</v>
      </c>
      <c r="K27" s="128"/>
      <c r="L27" s="4"/>
      <c r="N27" s="99" t="s">
        <v>91</v>
      </c>
      <c r="O27" s="99" t="s">
        <v>282</v>
      </c>
      <c r="P27" s="136">
        <v>0.6</v>
      </c>
      <c r="Q27" s="136">
        <v>0.8</v>
      </c>
      <c r="R27" s="136">
        <v>1</v>
      </c>
    </row>
    <row r="28" spans="1:18" ht="20.399999999999999" x14ac:dyDescent="0.55000000000000004">
      <c r="B28" s="14"/>
      <c r="E28" s="15"/>
      <c r="F28" s="125" t="s">
        <v>80</v>
      </c>
      <c r="G28" s="126">
        <f>$G$27/$D$5</f>
        <v>10.718485833333334</v>
      </c>
      <c r="H28" s="125" t="s">
        <v>78</v>
      </c>
      <c r="I28" s="95"/>
      <c r="J28" s="129">
        <f>$J$27/$D$5</f>
        <v>944.3374458333335</v>
      </c>
      <c r="K28" s="130"/>
      <c r="L28" s="4"/>
      <c r="N28" s="99" t="s">
        <v>91</v>
      </c>
      <c r="O28" s="99" t="s">
        <v>122</v>
      </c>
      <c r="P28" s="136">
        <v>0.6</v>
      </c>
      <c r="Q28" s="136">
        <v>0.9</v>
      </c>
      <c r="R28" s="136">
        <v>1</v>
      </c>
    </row>
    <row r="29" spans="1:18" x14ac:dyDescent="0.5">
      <c r="A29" s="24" t="s">
        <v>21</v>
      </c>
      <c r="N29" s="99" t="s">
        <v>91</v>
      </c>
      <c r="O29" s="99" t="s">
        <v>123</v>
      </c>
      <c r="P29" s="136">
        <v>0.4</v>
      </c>
      <c r="Q29" s="136">
        <v>1.2</v>
      </c>
      <c r="R29" s="136">
        <v>1.2</v>
      </c>
    </row>
    <row r="30" spans="1:18" ht="21" x14ac:dyDescent="0.6">
      <c r="A30" s="23" t="s">
        <v>22</v>
      </c>
      <c r="N30" s="99" t="s">
        <v>91</v>
      </c>
      <c r="O30" s="99" t="s">
        <v>207</v>
      </c>
      <c r="P30" s="136">
        <v>0.6</v>
      </c>
      <c r="Q30" s="136">
        <v>1</v>
      </c>
      <c r="R30" s="136">
        <v>1</v>
      </c>
    </row>
    <row r="31" spans="1:18" ht="21" x14ac:dyDescent="0.6">
      <c r="A31" s="23" t="s">
        <v>76</v>
      </c>
      <c r="N31" s="99" t="s">
        <v>91</v>
      </c>
      <c r="O31" s="99" t="s">
        <v>124</v>
      </c>
      <c r="P31" s="136">
        <v>0.6</v>
      </c>
      <c r="Q31" s="136">
        <v>0.9</v>
      </c>
      <c r="R31" s="136">
        <v>1</v>
      </c>
    </row>
    <row r="32" spans="1:18" ht="21" x14ac:dyDescent="0.6">
      <c r="A32" s="23" t="s">
        <v>24</v>
      </c>
      <c r="N32" s="99" t="s">
        <v>91</v>
      </c>
      <c r="O32" s="99" t="s">
        <v>125</v>
      </c>
      <c r="P32" s="136">
        <v>0.4</v>
      </c>
      <c r="Q32" s="136">
        <v>1.2</v>
      </c>
      <c r="R32" s="136">
        <v>1.2</v>
      </c>
    </row>
    <row r="33" spans="14:18" x14ac:dyDescent="0.5">
      <c r="N33" s="99" t="s">
        <v>91</v>
      </c>
      <c r="O33" s="99" t="s">
        <v>126</v>
      </c>
      <c r="P33" s="136">
        <v>0.6</v>
      </c>
      <c r="Q33" s="136">
        <v>1</v>
      </c>
      <c r="R33" s="136">
        <v>1</v>
      </c>
    </row>
    <row r="34" spans="14:18" x14ac:dyDescent="0.5">
      <c r="N34" s="99" t="s">
        <v>91</v>
      </c>
      <c r="O34" s="99" t="s">
        <v>127</v>
      </c>
      <c r="P34" s="136">
        <v>0.6</v>
      </c>
      <c r="Q34" s="136">
        <v>0.9</v>
      </c>
      <c r="R34" s="136">
        <v>1</v>
      </c>
    </row>
    <row r="35" spans="14:18" x14ac:dyDescent="0.5">
      <c r="N35" s="99" t="s">
        <v>91</v>
      </c>
      <c r="O35" s="99" t="s">
        <v>128</v>
      </c>
      <c r="P35" s="136">
        <v>0.6</v>
      </c>
      <c r="Q35" s="136">
        <v>0.9</v>
      </c>
      <c r="R35" s="136">
        <v>1</v>
      </c>
    </row>
    <row r="36" spans="14:18" x14ac:dyDescent="0.5">
      <c r="N36" s="99" t="s">
        <v>91</v>
      </c>
      <c r="O36" s="99" t="s">
        <v>129</v>
      </c>
      <c r="P36" s="136">
        <v>0.4</v>
      </c>
      <c r="Q36" s="136">
        <v>1.2</v>
      </c>
      <c r="R36" s="136">
        <v>1.2</v>
      </c>
    </row>
    <row r="37" spans="14:18" x14ac:dyDescent="0.5">
      <c r="N37" s="99" t="s">
        <v>91</v>
      </c>
      <c r="O37" s="99" t="s">
        <v>130</v>
      </c>
      <c r="P37" s="136">
        <v>0.4</v>
      </c>
      <c r="Q37" s="136">
        <v>1.2</v>
      </c>
      <c r="R37" s="136">
        <v>1.2</v>
      </c>
    </row>
    <row r="38" spans="14:18" x14ac:dyDescent="0.5">
      <c r="N38" s="99" t="s">
        <v>91</v>
      </c>
      <c r="O38" s="99" t="s">
        <v>131</v>
      </c>
      <c r="P38" s="136">
        <v>0.4</v>
      </c>
      <c r="Q38" s="136">
        <v>1.2</v>
      </c>
      <c r="R38" s="136">
        <v>1.2</v>
      </c>
    </row>
    <row r="39" spans="14:18" x14ac:dyDescent="0.5">
      <c r="N39" s="99" t="s">
        <v>91</v>
      </c>
      <c r="O39" s="99" t="s">
        <v>132</v>
      </c>
      <c r="P39" s="136">
        <v>0.4</v>
      </c>
      <c r="Q39" s="136">
        <v>1</v>
      </c>
      <c r="R39" s="136">
        <v>1.2</v>
      </c>
    </row>
    <row r="40" spans="14:18" x14ac:dyDescent="0.5">
      <c r="N40" s="99" t="s">
        <v>91</v>
      </c>
      <c r="O40" s="99" t="s">
        <v>133</v>
      </c>
      <c r="P40" s="136">
        <v>0.4</v>
      </c>
      <c r="Q40" s="136">
        <v>1.2</v>
      </c>
      <c r="R40" s="136">
        <v>1.2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Data!$A$14:$A$17</xm:f>
          </x14:formula1>
          <xm:sqref>C10</xm:sqref>
        </x14:dataValidation>
        <x14:dataValidation type="list" allowBlank="1" showInputMessage="1" showErrorMessage="1">
          <x14:formula1>
            <xm:f>Data!$A$19:$A$22</xm:f>
          </x14:formula1>
          <xm:sqref>C11</xm:sqref>
        </x14:dataValidation>
        <x14:dataValidation type="list" allowBlank="1" showInputMessage="1" showErrorMessage="1">
          <x14:formula1>
            <xm:f>Data!$A$47:$A$49</xm:f>
          </x14:formula1>
          <xm:sqref>C12</xm:sqref>
        </x14:dataValidation>
        <x14:dataValidation type="list" allowBlank="1" showInputMessage="1" showErrorMessage="1">
          <x14:formula1>
            <xm:f>Data!$A$113:$A$114</xm:f>
          </x14:formula1>
          <xm:sqref>C13</xm:sqref>
        </x14:dataValidation>
        <x14:dataValidation type="list" allowBlank="1" showInputMessage="1" showErrorMessage="1">
          <x14:formula1>
            <xm:f>Data!$A$29:$A$31</xm:f>
          </x14:formula1>
          <xm:sqref>C14</xm:sqref>
        </x14:dataValidation>
        <x14:dataValidation type="list" allowBlank="1" showInputMessage="1" showErrorMessage="1">
          <x14:formula1>
            <xm:f>Data!$A$33:$A$36</xm:f>
          </x14:formula1>
          <xm:sqref>C15</xm:sqref>
        </x14:dataValidation>
        <x14:dataValidation type="list" allowBlank="1" showInputMessage="1" showErrorMessage="1">
          <x14:formula1>
            <xm:f>Data!$A$38:$A$39</xm:f>
          </x14:formula1>
          <xm:sqref>C16</xm:sqref>
        </x14:dataValidation>
        <x14:dataValidation type="list" allowBlank="1" showInputMessage="1" showErrorMessage="1">
          <x14:formula1>
            <xm:f>Data!$A$41:$A$42</xm:f>
          </x14:formula1>
          <xm:sqref>C17</xm:sqref>
        </x14:dataValidation>
        <x14:dataValidation type="list" allowBlank="1" showInputMessage="1" showErrorMessage="1">
          <x14:formula1>
            <xm:f>Data!$A$44:$A$45</xm:f>
          </x14:formula1>
          <xm:sqref>C18</xm:sqref>
        </x14:dataValidation>
        <x14:dataValidation type="list" allowBlank="1" showInputMessage="1" showErrorMessage="1">
          <x14:formula1>
            <xm:f>Data!$A$98:$A$104</xm:f>
          </x14:formula1>
          <xm:sqref>C19</xm:sqref>
        </x14:dataValidation>
        <x14:dataValidation type="list" allowBlank="1" showInputMessage="1" showErrorMessage="1">
          <x14:formula1>
            <xm:f>Data!$A$95:$A$96</xm:f>
          </x14:formula1>
          <xm:sqref>C20</xm:sqref>
        </x14:dataValidation>
        <x14:dataValidation type="list" allowBlank="1" showInputMessage="1" showErrorMessage="1">
          <x14:formula1>
            <xm:f>Data!$A$24:$A$27</xm:f>
          </x14:formula1>
          <xm:sqref>C21</xm:sqref>
        </x14:dataValidation>
        <x14:dataValidation type="list" allowBlank="1" showInputMessage="1" showErrorMessage="1">
          <x14:formula1>
            <xm:f>Data!$A$121:$A$123</xm:f>
          </x14:formula1>
          <xm:sqref>C24</xm:sqref>
        </x14:dataValidation>
        <x14:dataValidation type="list" allowBlank="1" showInputMessage="1" showErrorMessage="1">
          <x14:formula1>
            <xm:f>Data!$A$117:$A$119</xm:f>
          </x14:formula1>
          <xm:sqref>C23</xm:sqref>
        </x14:dataValidation>
        <x14:dataValidation type="list" allowBlank="1" showInputMessage="1" showErrorMessage="1">
          <x14:formula1>
            <xm:f>Data!$A$51:$A$93</xm:f>
          </x14:formula1>
          <xm:sqref>C22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3"/>
  <sheetViews>
    <sheetView topLeftCell="A89" zoomScale="130" zoomScaleNormal="130" workbookViewId="0">
      <selection activeCell="I56" sqref="I56"/>
    </sheetView>
  </sheetViews>
  <sheetFormatPr defaultRowHeight="19.8" x14ac:dyDescent="0.5"/>
  <cols>
    <col min="1" max="1" width="33.625" bestFit="1" customWidth="1"/>
    <col min="6" max="6" width="9.375" style="73"/>
    <col min="7" max="7" width="13.125" style="74" bestFit="1" customWidth="1"/>
    <col min="8" max="8" width="13.125" style="74" customWidth="1"/>
    <col min="9" max="9" width="16.5" style="89" bestFit="1" customWidth="1"/>
    <col min="10" max="10" width="13.125" customWidth="1"/>
  </cols>
  <sheetData>
    <row r="1" spans="1:9" ht="20.399999999999999" x14ac:dyDescent="0.55000000000000004">
      <c r="A1" s="76" t="s">
        <v>84</v>
      </c>
      <c r="B1" t="s">
        <v>85</v>
      </c>
      <c r="C1" t="s">
        <v>86</v>
      </c>
      <c r="E1" t="s">
        <v>87</v>
      </c>
      <c r="F1" s="72" t="s">
        <v>83</v>
      </c>
      <c r="G1" s="74" t="s">
        <v>88</v>
      </c>
      <c r="H1" s="74" t="s">
        <v>89</v>
      </c>
    </row>
    <row r="2" spans="1:9" x14ac:dyDescent="0.5">
      <c r="A2" t="s">
        <v>107</v>
      </c>
      <c r="B2">
        <v>3000</v>
      </c>
      <c r="C2">
        <v>49</v>
      </c>
      <c r="E2">
        <v>1.44</v>
      </c>
      <c r="F2" s="73">
        <v>120</v>
      </c>
      <c r="I2" s="90" t="s">
        <v>173</v>
      </c>
    </row>
    <row r="3" spans="1:9" x14ac:dyDescent="0.5">
      <c r="A3" t="s">
        <v>108</v>
      </c>
      <c r="B3">
        <v>3000</v>
      </c>
      <c r="C3">
        <v>62</v>
      </c>
      <c r="E3">
        <v>1.6</v>
      </c>
      <c r="F3" s="73">
        <v>135</v>
      </c>
      <c r="I3" s="90" t="s">
        <v>175</v>
      </c>
    </row>
    <row r="4" spans="1:9" x14ac:dyDescent="0.5">
      <c r="A4" t="s">
        <v>109</v>
      </c>
      <c r="B4">
        <v>3000</v>
      </c>
      <c r="C4">
        <v>74</v>
      </c>
      <c r="E4">
        <v>1.73</v>
      </c>
      <c r="F4" s="73">
        <v>145</v>
      </c>
      <c r="I4" s="90" t="s">
        <v>176</v>
      </c>
    </row>
    <row r="5" spans="1:9" x14ac:dyDescent="0.5">
      <c r="A5" t="s">
        <v>110</v>
      </c>
      <c r="B5">
        <v>3000</v>
      </c>
      <c r="C5">
        <v>92</v>
      </c>
      <c r="E5">
        <v>1.95</v>
      </c>
      <c r="F5" s="73">
        <v>160</v>
      </c>
      <c r="I5" s="90" t="s">
        <v>177</v>
      </c>
    </row>
    <row r="7" spans="1:9" ht="20.399999999999999" x14ac:dyDescent="0.55000000000000004">
      <c r="A7" s="76" t="s">
        <v>111</v>
      </c>
      <c r="B7" t="s">
        <v>85</v>
      </c>
      <c r="C7" t="s">
        <v>86</v>
      </c>
      <c r="E7" t="s">
        <v>87</v>
      </c>
      <c r="G7" s="74" t="s">
        <v>88</v>
      </c>
    </row>
    <row r="8" spans="1:9" x14ac:dyDescent="0.5">
      <c r="A8" t="s">
        <v>112</v>
      </c>
      <c r="B8">
        <v>3000</v>
      </c>
      <c r="C8">
        <v>51</v>
      </c>
      <c r="E8">
        <v>1.32</v>
      </c>
      <c r="F8" s="73">
        <v>105</v>
      </c>
      <c r="I8" s="90" t="s">
        <v>174</v>
      </c>
    </row>
    <row r="9" spans="1:9" x14ac:dyDescent="0.5">
      <c r="A9" t="s">
        <v>113</v>
      </c>
      <c r="B9">
        <v>3000</v>
      </c>
      <c r="C9">
        <v>64</v>
      </c>
      <c r="E9">
        <v>1.47</v>
      </c>
      <c r="F9" s="73">
        <v>120</v>
      </c>
      <c r="I9" s="90" t="s">
        <v>178</v>
      </c>
    </row>
    <row r="10" spans="1:9" x14ac:dyDescent="0.5">
      <c r="A10" t="s">
        <v>114</v>
      </c>
      <c r="B10">
        <v>3000</v>
      </c>
      <c r="C10">
        <v>76</v>
      </c>
      <c r="E10">
        <v>1.6</v>
      </c>
      <c r="F10" s="73">
        <v>130</v>
      </c>
      <c r="I10" s="90" t="s">
        <v>179</v>
      </c>
    </row>
    <row r="11" spans="1:9" x14ac:dyDescent="0.5">
      <c r="A11" t="s">
        <v>115</v>
      </c>
      <c r="B11">
        <v>3000</v>
      </c>
      <c r="C11">
        <v>94</v>
      </c>
      <c r="E11">
        <v>1.82</v>
      </c>
      <c r="F11" s="73">
        <v>145</v>
      </c>
      <c r="I11" s="90" t="s">
        <v>180</v>
      </c>
    </row>
    <row r="13" spans="1:9" ht="20.399999999999999" x14ac:dyDescent="0.55000000000000004">
      <c r="A13" s="76" t="s">
        <v>101</v>
      </c>
      <c r="B13" t="s">
        <v>85</v>
      </c>
      <c r="C13" t="s">
        <v>86</v>
      </c>
      <c r="D13" s="77" t="s">
        <v>117</v>
      </c>
      <c r="E13" t="s">
        <v>87</v>
      </c>
      <c r="G13" s="74" t="s">
        <v>88</v>
      </c>
    </row>
    <row r="14" spans="1:9" x14ac:dyDescent="0.5">
      <c r="A14" s="77" t="s">
        <v>156</v>
      </c>
      <c r="B14">
        <v>4000</v>
      </c>
      <c r="C14" s="78" t="s">
        <v>158</v>
      </c>
      <c r="D14">
        <v>0.5</v>
      </c>
      <c r="E14">
        <v>1.4</v>
      </c>
      <c r="F14" s="73">
        <v>155</v>
      </c>
      <c r="G14" s="81">
        <f>(((ROUNDUP((((Conceal!$J$4-0.6)/Conceal!$J$7)),))+1)*Conceal!$J$5/($B14/1000))*(1+Conceal!$J$8)</f>
        <v>4.2</v>
      </c>
      <c r="H14" s="74">
        <f>G14*E14</f>
        <v>5.88</v>
      </c>
      <c r="I14" s="90" t="s">
        <v>181</v>
      </c>
    </row>
    <row r="15" spans="1:9" x14ac:dyDescent="0.5">
      <c r="A15" s="77" t="s">
        <v>91</v>
      </c>
      <c r="B15">
        <v>4000</v>
      </c>
      <c r="C15" s="78" t="s">
        <v>159</v>
      </c>
      <c r="D15">
        <v>0.5</v>
      </c>
      <c r="E15">
        <v>1.0900000000000001</v>
      </c>
      <c r="F15" s="73">
        <v>98</v>
      </c>
      <c r="G15" s="81">
        <f>(((ROUNDUP((((Conceal!$J$4-0.6)/Conceal!$J$7)),))+1)*Conceal!$J$5/($B15/1000))*(1+Conceal!$J$8)</f>
        <v>4.2</v>
      </c>
      <c r="H15" s="74">
        <f t="shared" ref="H15:H77" si="0">G15*E15</f>
        <v>4.5780000000000003</v>
      </c>
      <c r="I15" s="90" t="s">
        <v>182</v>
      </c>
    </row>
    <row r="16" spans="1:9" x14ac:dyDescent="0.5">
      <c r="A16" s="77" t="s">
        <v>157</v>
      </c>
      <c r="B16">
        <v>4000</v>
      </c>
      <c r="C16" s="78" t="s">
        <v>160</v>
      </c>
      <c r="D16">
        <v>0.4</v>
      </c>
      <c r="E16">
        <v>0.77</v>
      </c>
      <c r="F16" s="73">
        <v>67</v>
      </c>
      <c r="G16" s="81">
        <f>(((ROUNDUP((((Conceal!$J$4-0.6)/Conceal!$J$7)),))+1)*Conceal!$J$5/($B16/1000))*(1+Conceal!$J$8)</f>
        <v>4.2</v>
      </c>
      <c r="H16" s="74">
        <f t="shared" si="0"/>
        <v>3.2340000000000004</v>
      </c>
      <c r="I16" s="90" t="s">
        <v>183</v>
      </c>
    </row>
    <row r="17" spans="1:9" x14ac:dyDescent="0.5">
      <c r="A17" s="77"/>
      <c r="C17" s="78"/>
      <c r="G17" s="81"/>
    </row>
    <row r="18" spans="1:9" ht="20.399999999999999" x14ac:dyDescent="0.55000000000000004">
      <c r="A18" s="76" t="s">
        <v>100</v>
      </c>
      <c r="B18" t="s">
        <v>85</v>
      </c>
      <c r="C18" t="s">
        <v>86</v>
      </c>
      <c r="D18" s="77" t="s">
        <v>117</v>
      </c>
      <c r="E18" t="s">
        <v>87</v>
      </c>
      <c r="G18" s="74" t="s">
        <v>88</v>
      </c>
    </row>
    <row r="19" spans="1:9" x14ac:dyDescent="0.5">
      <c r="A19" s="77" t="s">
        <v>156</v>
      </c>
      <c r="B19">
        <v>4000</v>
      </c>
      <c r="C19" s="78" t="s">
        <v>158</v>
      </c>
      <c r="D19">
        <v>0.5</v>
      </c>
      <c r="E19">
        <v>1.4</v>
      </c>
      <c r="F19" s="73">
        <v>155</v>
      </c>
      <c r="G19" s="81">
        <f>(((ROUNDUP((Conceal!$J$5/Conceal!$I$7),))+1)*Conceal!$J$4/($B19/1000))*(1+Conceal!$J$8)</f>
        <v>11.55</v>
      </c>
      <c r="H19" s="74">
        <f t="shared" si="0"/>
        <v>16.170000000000002</v>
      </c>
      <c r="I19" s="90" t="s">
        <v>181</v>
      </c>
    </row>
    <row r="20" spans="1:9" x14ac:dyDescent="0.5">
      <c r="A20" s="77" t="s">
        <v>91</v>
      </c>
      <c r="B20">
        <v>4000</v>
      </c>
      <c r="C20" s="78" t="s">
        <v>159</v>
      </c>
      <c r="D20">
        <v>0.5</v>
      </c>
      <c r="E20">
        <v>1.0900000000000001</v>
      </c>
      <c r="F20" s="73">
        <v>98</v>
      </c>
      <c r="G20" s="81">
        <f>(((ROUNDUP((Conceal!$J$5/Conceal!$I$7),))+1)*Conceal!$J$4/($B20/1000))*(1+Conceal!$J$8)</f>
        <v>11.55</v>
      </c>
      <c r="H20" s="74">
        <f t="shared" si="0"/>
        <v>12.589500000000001</v>
      </c>
      <c r="I20" s="90" t="s">
        <v>182</v>
      </c>
    </row>
    <row r="21" spans="1:9" x14ac:dyDescent="0.5">
      <c r="A21" s="77" t="s">
        <v>157</v>
      </c>
      <c r="B21">
        <v>4000</v>
      </c>
      <c r="C21" s="78" t="s">
        <v>160</v>
      </c>
      <c r="D21">
        <v>0.4</v>
      </c>
      <c r="E21">
        <v>0.77</v>
      </c>
      <c r="F21" s="73">
        <v>67</v>
      </c>
      <c r="G21" s="81">
        <f>(((ROUNDUP((Conceal!$J$5/Conceal!$I$7),))+1)*Conceal!$J$4/($B21/1000))*(1+Conceal!$J$8)</f>
        <v>11.55</v>
      </c>
      <c r="H21" s="74">
        <f t="shared" si="0"/>
        <v>8.8935000000000013</v>
      </c>
      <c r="I21" s="90" t="s">
        <v>183</v>
      </c>
    </row>
    <row r="23" spans="1:9" ht="20.399999999999999" x14ac:dyDescent="0.55000000000000004">
      <c r="A23" s="76" t="s">
        <v>104</v>
      </c>
      <c r="B23" t="s">
        <v>85</v>
      </c>
      <c r="C23" t="s">
        <v>86</v>
      </c>
      <c r="D23" s="77" t="s">
        <v>117</v>
      </c>
      <c r="E23" t="s">
        <v>87</v>
      </c>
      <c r="G23" s="74" t="s">
        <v>88</v>
      </c>
    </row>
    <row r="24" spans="1:9" x14ac:dyDescent="0.5">
      <c r="A24" s="77" t="s">
        <v>163</v>
      </c>
      <c r="B24">
        <v>115</v>
      </c>
      <c r="C24">
        <v>45</v>
      </c>
      <c r="D24">
        <v>0.5</v>
      </c>
      <c r="E24">
        <v>0.18</v>
      </c>
      <c r="F24" s="73">
        <v>5.5</v>
      </c>
      <c r="G24" s="81">
        <f>ROUNDUP(Conceal!$D$5/(Conceal!$J$7*Conceal!$I$7),)*(1+Conceal!$J$8)</f>
        <v>35.700000000000003</v>
      </c>
      <c r="H24" s="74">
        <f t="shared" si="0"/>
        <v>6.4260000000000002</v>
      </c>
      <c r="I24" s="90" t="s">
        <v>184</v>
      </c>
    </row>
    <row r="25" spans="1:9" x14ac:dyDescent="0.5">
      <c r="A25" s="77" t="s">
        <v>103</v>
      </c>
      <c r="B25">
        <v>90</v>
      </c>
      <c r="C25">
        <v>35</v>
      </c>
      <c r="D25">
        <v>0.5</v>
      </c>
      <c r="E25">
        <v>0.02</v>
      </c>
      <c r="F25" s="73">
        <v>3.75</v>
      </c>
      <c r="G25" s="81">
        <f>ROUNDUP(Conceal!$D$5/(Conceal!$J$7*Conceal!$I$7),)*(1+Conceal!$J$8)</f>
        <v>35.700000000000003</v>
      </c>
      <c r="H25" s="74">
        <f t="shared" si="0"/>
        <v>0.71400000000000008</v>
      </c>
      <c r="I25" s="90" t="s">
        <v>185</v>
      </c>
    </row>
    <row r="26" spans="1:9" x14ac:dyDescent="0.5">
      <c r="A26" s="77" t="s">
        <v>164</v>
      </c>
      <c r="B26">
        <v>80</v>
      </c>
      <c r="C26">
        <v>35</v>
      </c>
      <c r="D26">
        <v>0.4</v>
      </c>
      <c r="E26">
        <v>0.01</v>
      </c>
      <c r="F26" s="73">
        <v>1.75</v>
      </c>
      <c r="G26" s="81">
        <f>ROUNDUP(Conceal!$D$5/(Conceal!$J$7*Conceal!$I$7),)*(1+Conceal!$J$8)</f>
        <v>35.700000000000003</v>
      </c>
      <c r="H26" s="74">
        <f t="shared" si="0"/>
        <v>0.35700000000000004</v>
      </c>
      <c r="I26" s="90" t="s">
        <v>186</v>
      </c>
    </row>
    <row r="28" spans="1:9" ht="20.399999999999999" x14ac:dyDescent="0.55000000000000004">
      <c r="A28" s="76" t="s">
        <v>97</v>
      </c>
      <c r="B28" t="s">
        <v>85</v>
      </c>
      <c r="C28" t="s">
        <v>86</v>
      </c>
      <c r="D28" s="77" t="s">
        <v>117</v>
      </c>
      <c r="E28" t="s">
        <v>87</v>
      </c>
      <c r="G28" s="74" t="s">
        <v>88</v>
      </c>
    </row>
    <row r="29" spans="1:9" x14ac:dyDescent="0.5">
      <c r="A29" s="77" t="s">
        <v>165</v>
      </c>
      <c r="B29">
        <v>90</v>
      </c>
      <c r="C29" s="78" t="s">
        <v>166</v>
      </c>
      <c r="D29">
        <v>0.5</v>
      </c>
      <c r="E29">
        <v>0.03</v>
      </c>
      <c r="F29" s="73">
        <v>8</v>
      </c>
      <c r="G29" s="74">
        <f>(ROUNDUP((ROUNDUP(Conceal!$J$4/Conceal!$J$7,)*Conceal!$J$5/4),))+(ROUNDUP((ROUNDUP(Conceal!$J$5/Conceal!$I$7,)*Conceal!$J$4/4),))*(1+Conceal!$J$8)</f>
        <v>14.5</v>
      </c>
      <c r="H29" s="74">
        <f t="shared" si="0"/>
        <v>0.435</v>
      </c>
      <c r="I29" s="90" t="s">
        <v>187</v>
      </c>
    </row>
    <row r="30" spans="1:9" x14ac:dyDescent="0.5">
      <c r="A30" s="77" t="s">
        <v>98</v>
      </c>
      <c r="B30">
        <v>90</v>
      </c>
      <c r="C30" s="78" t="s">
        <v>167</v>
      </c>
      <c r="D30">
        <v>0.5</v>
      </c>
      <c r="E30">
        <v>0.03</v>
      </c>
      <c r="F30" s="73">
        <v>5.5</v>
      </c>
      <c r="G30" s="74">
        <f>(ROUNDUP((ROUNDUP(Conceal!$J$4/Conceal!$J$7,)*Conceal!$J$5/4),))+(ROUNDUP((ROUNDUP(Conceal!$J$5/Conceal!$I$7,)*Conceal!$J$4/4),))*(1+Conceal!$J$8)</f>
        <v>14.5</v>
      </c>
      <c r="H30" s="74">
        <f t="shared" si="0"/>
        <v>0.435</v>
      </c>
      <c r="I30" s="90" t="s">
        <v>188</v>
      </c>
    </row>
    <row r="32" spans="1:9" ht="20.399999999999999" x14ac:dyDescent="0.55000000000000004">
      <c r="A32" s="76" t="s">
        <v>168</v>
      </c>
      <c r="B32" t="s">
        <v>85</v>
      </c>
      <c r="C32" t="s">
        <v>86</v>
      </c>
      <c r="D32" s="77" t="s">
        <v>117</v>
      </c>
      <c r="E32" t="s">
        <v>87</v>
      </c>
      <c r="G32" s="74" t="s">
        <v>88</v>
      </c>
    </row>
    <row r="33" spans="1:9" x14ac:dyDescent="0.5">
      <c r="A33" s="77" t="s">
        <v>169</v>
      </c>
      <c r="B33">
        <v>205</v>
      </c>
      <c r="C33">
        <v>26</v>
      </c>
      <c r="D33">
        <v>4</v>
      </c>
      <c r="E33">
        <v>0.08</v>
      </c>
      <c r="F33" s="73">
        <v>4</v>
      </c>
      <c r="G33" s="81">
        <f>(ROUNDUP(Conceal!$D$5/(Conceal!$K$7*Conceal!$K$7),))*(1+Conceal!$J$8)</f>
        <v>12.600000000000001</v>
      </c>
      <c r="H33" s="74">
        <f t="shared" si="0"/>
        <v>1.0080000000000002</v>
      </c>
      <c r="I33" s="90" t="s">
        <v>189</v>
      </c>
    </row>
    <row r="34" spans="1:9" x14ac:dyDescent="0.5">
      <c r="A34" s="77" t="s">
        <v>92</v>
      </c>
      <c r="B34">
        <v>200</v>
      </c>
      <c r="C34">
        <v>22</v>
      </c>
      <c r="D34">
        <v>4</v>
      </c>
      <c r="E34">
        <v>0.05</v>
      </c>
      <c r="F34" s="73">
        <v>4</v>
      </c>
      <c r="G34" s="81">
        <f>(ROUNDUP(Conceal!$D$5/(Conceal!$K$7*Conceal!$K$7),))*(1+Conceal!$J$8)</f>
        <v>12.600000000000001</v>
      </c>
      <c r="H34" s="74">
        <f t="shared" si="0"/>
        <v>0.63000000000000012</v>
      </c>
      <c r="I34" s="90" t="s">
        <v>190</v>
      </c>
    </row>
    <row r="35" spans="1:9" x14ac:dyDescent="0.5">
      <c r="A35" s="77" t="s">
        <v>170</v>
      </c>
      <c r="B35">
        <v>200</v>
      </c>
      <c r="D35">
        <v>4</v>
      </c>
      <c r="E35">
        <v>0.05</v>
      </c>
      <c r="F35" s="73">
        <v>4</v>
      </c>
      <c r="G35" s="81">
        <f>(ROUNDUP(Conceal!$D$5/(Conceal!$K$7*Conceal!$K$7),))*(1+Conceal!$J$8)</f>
        <v>12.600000000000001</v>
      </c>
      <c r="H35" s="74">
        <f t="shared" si="0"/>
        <v>0.63000000000000012</v>
      </c>
      <c r="I35" s="90" t="s">
        <v>191</v>
      </c>
    </row>
    <row r="37" spans="1:9" ht="20.399999999999999" x14ac:dyDescent="0.55000000000000004">
      <c r="A37" s="76" t="s">
        <v>93</v>
      </c>
      <c r="B37" t="s">
        <v>85</v>
      </c>
      <c r="C37" t="s">
        <v>86</v>
      </c>
      <c r="D37" s="77" t="s">
        <v>117</v>
      </c>
      <c r="E37" t="s">
        <v>87</v>
      </c>
      <c r="G37" s="74" t="s">
        <v>88</v>
      </c>
    </row>
    <row r="38" spans="1:9" x14ac:dyDescent="0.5">
      <c r="A38" s="77" t="s">
        <v>93</v>
      </c>
      <c r="B38">
        <v>25</v>
      </c>
      <c r="C38">
        <v>25</v>
      </c>
      <c r="E38">
        <v>1.7999999999999999E-2</v>
      </c>
      <c r="F38" s="73">
        <v>2.25</v>
      </c>
      <c r="G38" s="81">
        <f>(ROUNDUP(Conceal!$D$5/(Conceal!$K$7*Conceal!$K$7),))*(1+Conceal!$J$8)</f>
        <v>12.600000000000001</v>
      </c>
      <c r="H38" s="74">
        <f t="shared" si="0"/>
        <v>0.2268</v>
      </c>
      <c r="I38" s="90" t="s">
        <v>192</v>
      </c>
    </row>
    <row r="40" spans="1:9" ht="20.399999999999999" x14ac:dyDescent="0.55000000000000004">
      <c r="A40" s="76" t="s">
        <v>94</v>
      </c>
      <c r="B40" t="s">
        <v>85</v>
      </c>
      <c r="C40" t="s">
        <v>86</v>
      </c>
      <c r="D40" s="77" t="s">
        <v>117</v>
      </c>
      <c r="E40" t="s">
        <v>87</v>
      </c>
      <c r="G40" s="74" t="s">
        <v>88</v>
      </c>
    </row>
    <row r="41" spans="1:9" x14ac:dyDescent="0.5">
      <c r="A41" s="77" t="s">
        <v>95</v>
      </c>
      <c r="B41">
        <v>90</v>
      </c>
      <c r="C41">
        <v>19</v>
      </c>
      <c r="E41">
        <v>8.9999999999999993E-3</v>
      </c>
      <c r="F41" s="73">
        <v>6</v>
      </c>
      <c r="G41" s="81">
        <f>(ROUNDUP(Conceal!$D$5/(Conceal!$K$7*Conceal!$K$7),))*(1+Conceal!$J$8)</f>
        <v>12.600000000000001</v>
      </c>
      <c r="H41" s="74">
        <f t="shared" si="0"/>
        <v>0.1134</v>
      </c>
      <c r="I41" s="90" t="s">
        <v>193</v>
      </c>
    </row>
    <row r="43" spans="1:9" ht="20.399999999999999" x14ac:dyDescent="0.55000000000000004">
      <c r="A43" s="76" t="s">
        <v>96</v>
      </c>
      <c r="B43" t="s">
        <v>85</v>
      </c>
      <c r="C43" t="s">
        <v>86</v>
      </c>
      <c r="D43" s="77" t="s">
        <v>117</v>
      </c>
      <c r="E43" t="s">
        <v>87</v>
      </c>
      <c r="G43" s="74" t="s">
        <v>88</v>
      </c>
    </row>
    <row r="44" spans="1:9" x14ac:dyDescent="0.5">
      <c r="A44" s="77" t="s">
        <v>171</v>
      </c>
      <c r="B44">
        <v>3000</v>
      </c>
      <c r="D44">
        <v>4</v>
      </c>
      <c r="E44">
        <v>0.3</v>
      </c>
      <c r="F44" s="73">
        <v>20</v>
      </c>
      <c r="G44" s="74">
        <f>((ROUNDUP(Conceal!$D$5/(Conceal!$K$7*Conceal!$K$7),))*Conceal!$D$7/($B44/1000))*(1+Conceal!$J$8)</f>
        <v>4.2</v>
      </c>
      <c r="H44" s="74">
        <f t="shared" si="0"/>
        <v>1.26</v>
      </c>
      <c r="I44" s="90" t="s">
        <v>194</v>
      </c>
    </row>
    <row r="46" spans="1:9" ht="20.399999999999999" x14ac:dyDescent="0.55000000000000004">
      <c r="A46" s="76" t="s">
        <v>90</v>
      </c>
      <c r="B46" t="s">
        <v>85</v>
      </c>
      <c r="C46" t="s">
        <v>86</v>
      </c>
      <c r="E46" t="s">
        <v>87</v>
      </c>
    </row>
    <row r="47" spans="1:9" x14ac:dyDescent="0.5">
      <c r="A47" s="77" t="s">
        <v>161</v>
      </c>
      <c r="B47">
        <v>2400</v>
      </c>
      <c r="C47" s="78" t="s">
        <v>162</v>
      </c>
      <c r="D47">
        <v>0.5</v>
      </c>
      <c r="E47">
        <v>0.43</v>
      </c>
      <c r="F47" s="73">
        <v>36</v>
      </c>
      <c r="G47" s="74">
        <f>(ROUNDUP(((Conceal!$J$4+Conceal!$J$5)*2)/($B47/1000),))*(1+Conceal!$J$8)</f>
        <v>7.3500000000000005</v>
      </c>
      <c r="H47" s="74">
        <f t="shared" si="0"/>
        <v>3.1605000000000003</v>
      </c>
      <c r="I47" s="90" t="s">
        <v>195</v>
      </c>
    </row>
    <row r="48" spans="1:9" x14ac:dyDescent="0.5">
      <c r="A48" s="77" t="s">
        <v>269</v>
      </c>
      <c r="B48">
        <v>2400</v>
      </c>
      <c r="C48" s="78" t="s">
        <v>270</v>
      </c>
      <c r="D48">
        <v>0.3</v>
      </c>
      <c r="E48">
        <v>0.18</v>
      </c>
      <c r="F48" s="73">
        <v>22</v>
      </c>
      <c r="G48" s="74">
        <f>(ROUNDUP(((Conceal!$J$4+Conceal!$J$5)*2)/($B48/1000),))*(1+Conceal!$J$8)</f>
        <v>7.3500000000000005</v>
      </c>
      <c r="H48" s="74">
        <f t="shared" si="0"/>
        <v>1.323</v>
      </c>
      <c r="I48" s="90" t="s">
        <v>271</v>
      </c>
    </row>
    <row r="50" spans="1:9" ht="20.399999999999999" x14ac:dyDescent="0.55000000000000004">
      <c r="A50" s="76" t="s">
        <v>116</v>
      </c>
      <c r="B50" t="s">
        <v>85</v>
      </c>
      <c r="C50" t="s">
        <v>86</v>
      </c>
      <c r="D50" t="s">
        <v>117</v>
      </c>
      <c r="E50" t="s">
        <v>87</v>
      </c>
      <c r="G50" s="74" t="s">
        <v>88</v>
      </c>
    </row>
    <row r="51" spans="1:9" x14ac:dyDescent="0.5">
      <c r="A51" t="s">
        <v>118</v>
      </c>
      <c r="B51">
        <v>2400</v>
      </c>
      <c r="C51">
        <v>1200</v>
      </c>
      <c r="D51">
        <v>9</v>
      </c>
      <c r="E51">
        <v>16.04</v>
      </c>
      <c r="F51" s="73">
        <v>238</v>
      </c>
      <c r="G51" s="74">
        <f>ROUNDUP((Conceal!$D$5/($B51/1000*$C51/1000)),)*(1+Conceal!$J$8)</f>
        <v>6.3000000000000007</v>
      </c>
      <c r="H51" s="74">
        <f t="shared" si="0"/>
        <v>101.05200000000001</v>
      </c>
      <c r="I51" s="90" t="s">
        <v>196</v>
      </c>
    </row>
    <row r="52" spans="1:9" x14ac:dyDescent="0.5">
      <c r="A52" t="s">
        <v>119</v>
      </c>
      <c r="B52">
        <v>2400</v>
      </c>
      <c r="C52">
        <v>1200</v>
      </c>
      <c r="D52">
        <v>12</v>
      </c>
      <c r="E52">
        <v>23.04</v>
      </c>
      <c r="F52" s="73">
        <v>268</v>
      </c>
      <c r="G52" s="74">
        <f>ROUNDUP((Conceal!$D$5/($B52/1000*$C52/1000)),)*(1+Conceal!$J$8)</f>
        <v>6.3000000000000007</v>
      </c>
      <c r="H52" s="74">
        <f t="shared" si="0"/>
        <v>145.15200000000002</v>
      </c>
      <c r="I52" s="90" t="s">
        <v>197</v>
      </c>
    </row>
    <row r="53" spans="1:9" x14ac:dyDescent="0.5">
      <c r="A53" t="s">
        <v>120</v>
      </c>
      <c r="B53">
        <v>2400</v>
      </c>
      <c r="C53">
        <v>1200</v>
      </c>
      <c r="D53">
        <v>15</v>
      </c>
      <c r="E53">
        <v>32</v>
      </c>
      <c r="F53" s="73">
        <v>379</v>
      </c>
      <c r="G53" s="74">
        <f>ROUNDUP((Conceal!$D$5/($B53/1000*$C53/1000)),)*(1+Conceal!$J$8)</f>
        <v>6.3000000000000007</v>
      </c>
      <c r="H53" s="74">
        <f t="shared" si="0"/>
        <v>201.60000000000002</v>
      </c>
      <c r="I53" s="90" t="s">
        <v>198</v>
      </c>
    </row>
    <row r="54" spans="1:9" x14ac:dyDescent="0.5">
      <c r="I54" s="90"/>
    </row>
    <row r="55" spans="1:9" x14ac:dyDescent="0.5">
      <c r="A55" t="s">
        <v>288</v>
      </c>
      <c r="B55">
        <v>2400</v>
      </c>
      <c r="C55">
        <v>1200</v>
      </c>
      <c r="D55">
        <v>9.1999999999999993</v>
      </c>
      <c r="E55">
        <v>16.704000000000001</v>
      </c>
      <c r="F55" s="73">
        <v>294</v>
      </c>
      <c r="G55" s="74">
        <f>ROUNDUP((Conceal!$D$5/($B55/1000*$C55/1000)),)*(1+Conceal!$J$8)</f>
        <v>6.3000000000000007</v>
      </c>
      <c r="H55" s="74">
        <f t="shared" ref="H55" si="1">G55*E55</f>
        <v>105.23520000000002</v>
      </c>
      <c r="I55" s="90" t="s">
        <v>289</v>
      </c>
    </row>
    <row r="57" spans="1:9" x14ac:dyDescent="0.5">
      <c r="A57" t="s">
        <v>231</v>
      </c>
      <c r="B57">
        <v>2400</v>
      </c>
      <c r="C57">
        <v>1200</v>
      </c>
      <c r="D57">
        <v>9</v>
      </c>
      <c r="E57">
        <v>16.13</v>
      </c>
      <c r="F57" s="73">
        <v>352</v>
      </c>
      <c r="G57" s="74">
        <f>ROUNDUP((Conceal!$D$5/($B57/1000*$C57/1000)),)*(1+Conceal!$J$8)</f>
        <v>6.3000000000000007</v>
      </c>
      <c r="H57" s="74">
        <f t="shared" si="0"/>
        <v>101.619</v>
      </c>
      <c r="I57" s="89" t="s">
        <v>234</v>
      </c>
    </row>
    <row r="58" spans="1:9" x14ac:dyDescent="0.5">
      <c r="A58" t="s">
        <v>232</v>
      </c>
      <c r="B58">
        <v>2400</v>
      </c>
      <c r="C58">
        <v>1200</v>
      </c>
      <c r="D58">
        <v>12</v>
      </c>
      <c r="E58">
        <v>23.04</v>
      </c>
      <c r="F58" s="73">
        <v>395</v>
      </c>
      <c r="G58" s="74">
        <f>ROUNDUP((Conceal!$D$5/($B58/1000*$C58/1000)),)*(1+Conceal!$J$8)</f>
        <v>6.3000000000000007</v>
      </c>
      <c r="H58" s="74">
        <f t="shared" si="0"/>
        <v>145.15200000000002</v>
      </c>
      <c r="I58" s="89" t="s">
        <v>235</v>
      </c>
    </row>
    <row r="59" spans="1:9" x14ac:dyDescent="0.5">
      <c r="A59" t="s">
        <v>233</v>
      </c>
      <c r="B59">
        <v>2400</v>
      </c>
      <c r="C59">
        <v>1200</v>
      </c>
      <c r="D59">
        <v>15</v>
      </c>
      <c r="E59">
        <v>32</v>
      </c>
      <c r="F59" s="73">
        <v>500</v>
      </c>
      <c r="G59" s="74">
        <f>ROUNDUP((Conceal!$D$5/($B59/1000*$C59/1000)),)*(1+Conceal!$J$8)</f>
        <v>6.3000000000000007</v>
      </c>
      <c r="H59" s="74">
        <f t="shared" si="0"/>
        <v>201.60000000000002</v>
      </c>
      <c r="I59" s="89" t="s">
        <v>236</v>
      </c>
    </row>
    <row r="61" spans="1:9" x14ac:dyDescent="0.5">
      <c r="A61" t="s">
        <v>237</v>
      </c>
      <c r="B61">
        <v>2400</v>
      </c>
      <c r="C61">
        <v>1200</v>
      </c>
      <c r="D61">
        <v>12.5</v>
      </c>
      <c r="E61">
        <v>23.1</v>
      </c>
      <c r="F61" s="73">
        <v>1100</v>
      </c>
      <c r="G61" s="74">
        <f>ROUNDUP((Conceal!$D$5/($B61/1000*$C61/1000)),)*(1+Conceal!$J$8)</f>
        <v>6.3000000000000007</v>
      </c>
      <c r="H61" s="74">
        <f t="shared" si="0"/>
        <v>145.53000000000003</v>
      </c>
      <c r="I61" s="89" t="s">
        <v>239</v>
      </c>
    </row>
    <row r="62" spans="1:9" x14ac:dyDescent="0.5">
      <c r="A62" t="s">
        <v>238</v>
      </c>
      <c r="B62">
        <v>2400</v>
      </c>
      <c r="C62">
        <v>1200</v>
      </c>
      <c r="D62">
        <v>12.5</v>
      </c>
      <c r="E62">
        <v>23.1</v>
      </c>
      <c r="F62" s="73">
        <v>1000</v>
      </c>
      <c r="G62" s="74">
        <f>ROUNDUP((Conceal!$D$5/($B62/1000*$C62/1000)),)*(1+Conceal!$J$8)</f>
        <v>6.3000000000000007</v>
      </c>
      <c r="H62" s="74">
        <f t="shared" si="0"/>
        <v>145.53000000000003</v>
      </c>
      <c r="I62" s="89" t="s">
        <v>240</v>
      </c>
    </row>
    <row r="63" spans="1:9" x14ac:dyDescent="0.5">
      <c r="A63" t="s">
        <v>250</v>
      </c>
      <c r="B63">
        <v>2400</v>
      </c>
      <c r="C63">
        <v>1200</v>
      </c>
      <c r="D63">
        <v>12.5</v>
      </c>
      <c r="E63">
        <v>27.36</v>
      </c>
      <c r="F63" s="73">
        <v>1300</v>
      </c>
      <c r="G63" s="74">
        <f>ROUNDUP((Conceal!$D$5/($B63/1000*$C63/1000)),)*(1+Conceal!$J$8)</f>
        <v>6.3000000000000007</v>
      </c>
      <c r="H63" s="74">
        <f t="shared" si="0"/>
        <v>172.36800000000002</v>
      </c>
      <c r="I63" s="89" t="s">
        <v>241</v>
      </c>
    </row>
    <row r="64" spans="1:9" x14ac:dyDescent="0.5">
      <c r="A64" t="s">
        <v>249</v>
      </c>
      <c r="B64">
        <v>2400</v>
      </c>
      <c r="C64">
        <v>1200</v>
      </c>
      <c r="D64">
        <v>12.5</v>
      </c>
      <c r="E64">
        <v>27.36</v>
      </c>
      <c r="F64" s="73">
        <v>1200</v>
      </c>
      <c r="G64" s="74">
        <f>ROUNDUP((Conceal!$D$5/($B64/1000*$C64/1000)),)*(1+Conceal!$J$8)</f>
        <v>6.3000000000000007</v>
      </c>
      <c r="H64" s="74">
        <f t="shared" si="0"/>
        <v>172.36800000000002</v>
      </c>
      <c r="I64" s="89" t="s">
        <v>242</v>
      </c>
    </row>
    <row r="65" spans="1:9" x14ac:dyDescent="0.5">
      <c r="A65" t="s">
        <v>248</v>
      </c>
      <c r="B65">
        <v>2400</v>
      </c>
      <c r="C65">
        <v>1200</v>
      </c>
      <c r="D65">
        <v>12.5</v>
      </c>
      <c r="E65">
        <v>27.36</v>
      </c>
      <c r="F65" s="73">
        <v>1100</v>
      </c>
      <c r="G65" s="74">
        <f>ROUNDUP((Conceal!$D$5/($B65/1000*$C65/1000)),)*(1+Conceal!$J$8)</f>
        <v>6.3000000000000007</v>
      </c>
      <c r="H65" s="74">
        <f t="shared" si="0"/>
        <v>172.36800000000002</v>
      </c>
      <c r="I65" s="89" t="s">
        <v>243</v>
      </c>
    </row>
    <row r="66" spans="1:9" x14ac:dyDescent="0.5">
      <c r="A66" t="s">
        <v>247</v>
      </c>
      <c r="B66">
        <v>2400</v>
      </c>
      <c r="C66">
        <v>1200</v>
      </c>
      <c r="D66">
        <v>12.5</v>
      </c>
      <c r="E66">
        <v>27.36</v>
      </c>
      <c r="F66" s="73">
        <v>1000</v>
      </c>
      <c r="G66" s="74">
        <f>ROUNDUP((Conceal!$D$5/($B66/1000*$C66/1000)),)*(1+Conceal!$J$8)</f>
        <v>6.3000000000000007</v>
      </c>
      <c r="H66" s="74">
        <f t="shared" si="0"/>
        <v>172.36800000000002</v>
      </c>
      <c r="I66" s="89" t="s">
        <v>244</v>
      </c>
    </row>
    <row r="67" spans="1:9" x14ac:dyDescent="0.5">
      <c r="A67" t="s">
        <v>245</v>
      </c>
      <c r="B67">
        <v>2400</v>
      </c>
      <c r="C67">
        <v>1200</v>
      </c>
      <c r="D67">
        <v>12.5</v>
      </c>
      <c r="E67">
        <v>27.36</v>
      </c>
      <c r="F67" s="73">
        <v>1100</v>
      </c>
      <c r="G67" s="74">
        <f>ROUNDUP((Conceal!$D$5/($B67/1000*$C67/1000)),)*(1+Conceal!$J$8)</f>
        <v>6.3000000000000007</v>
      </c>
      <c r="H67" s="74">
        <f t="shared" si="0"/>
        <v>172.36800000000002</v>
      </c>
      <c r="I67" s="89" t="s">
        <v>251</v>
      </c>
    </row>
    <row r="68" spans="1:9" x14ac:dyDescent="0.5">
      <c r="A68" t="s">
        <v>246</v>
      </c>
      <c r="B68">
        <v>2400</v>
      </c>
      <c r="C68">
        <v>1200</v>
      </c>
      <c r="D68">
        <v>12.5</v>
      </c>
      <c r="E68">
        <v>27.36</v>
      </c>
      <c r="F68" s="73">
        <v>1000</v>
      </c>
      <c r="G68" s="74">
        <f>ROUNDUP((Conceal!$D$5/($B68/1000*$C68/1000)),)*(1+Conceal!$J$8)</f>
        <v>6.3000000000000007</v>
      </c>
      <c r="H68" s="74">
        <f t="shared" si="0"/>
        <v>172.36800000000002</v>
      </c>
      <c r="I68" s="89" t="s">
        <v>252</v>
      </c>
    </row>
    <row r="70" spans="1:9" x14ac:dyDescent="0.5">
      <c r="A70" t="s">
        <v>121</v>
      </c>
      <c r="B70">
        <v>2400</v>
      </c>
      <c r="C70">
        <v>1200</v>
      </c>
      <c r="D70">
        <v>13</v>
      </c>
      <c r="E70">
        <v>33.119999999999997</v>
      </c>
      <c r="F70" s="73">
        <v>495</v>
      </c>
      <c r="G70" s="74">
        <f>ROUNDUP((Conceal!$D$5/($B70/1000*$C70/1000)),)*(1+Conceal!$J$8)</f>
        <v>6.3000000000000007</v>
      </c>
      <c r="H70" s="74">
        <f t="shared" si="0"/>
        <v>208.65600000000001</v>
      </c>
      <c r="I70" s="90" t="s">
        <v>200</v>
      </c>
    </row>
    <row r="71" spans="1:9" x14ac:dyDescent="0.5">
      <c r="A71" t="s">
        <v>281</v>
      </c>
      <c r="B71">
        <v>2400</v>
      </c>
      <c r="C71">
        <v>1200</v>
      </c>
      <c r="D71">
        <v>16</v>
      </c>
      <c r="E71">
        <f>14.5*2.88</f>
        <v>41.76</v>
      </c>
      <c r="F71" s="73">
        <v>532</v>
      </c>
      <c r="G71" s="74">
        <f>ROUNDUP((Conceal!$D$5/($B71/1000*$C71/1000)),)*(1+Conceal!$J$8)</f>
        <v>6.3000000000000007</v>
      </c>
      <c r="H71" s="74">
        <f t="shared" si="0"/>
        <v>263.08800000000002</v>
      </c>
      <c r="I71" s="90" t="s">
        <v>283</v>
      </c>
    </row>
    <row r="72" spans="1:9" x14ac:dyDescent="0.5">
      <c r="A72" t="s">
        <v>282</v>
      </c>
      <c r="B72">
        <v>2400</v>
      </c>
      <c r="C72">
        <v>1200</v>
      </c>
      <c r="D72">
        <v>16</v>
      </c>
      <c r="E72">
        <f>14.5*2.88</f>
        <v>41.76</v>
      </c>
      <c r="F72" s="73">
        <v>605</v>
      </c>
      <c r="G72" s="74">
        <f>ROUNDUP((Conceal!$D$5/($B72/1000*$C72/1000)),)*(1+Conceal!$J$8)</f>
        <v>6.3000000000000007</v>
      </c>
      <c r="H72" s="74">
        <f t="shared" si="0"/>
        <v>263.08800000000002</v>
      </c>
      <c r="I72" s="90" t="s">
        <v>284</v>
      </c>
    </row>
    <row r="74" spans="1:9" x14ac:dyDescent="0.5">
      <c r="A74" t="s">
        <v>122</v>
      </c>
      <c r="B74">
        <v>2400</v>
      </c>
      <c r="C74">
        <v>1200</v>
      </c>
      <c r="D74">
        <v>12.5</v>
      </c>
      <c r="E74">
        <v>34.6</v>
      </c>
      <c r="F74" s="73">
        <v>804</v>
      </c>
      <c r="G74" s="74">
        <f>ROUNDUP((Conceal!$D$5/($B74/1000*$C74/1000)),)*(1+Conceal!$J$8)</f>
        <v>6.3000000000000007</v>
      </c>
      <c r="H74" s="74">
        <f t="shared" si="0"/>
        <v>217.98000000000005</v>
      </c>
      <c r="I74" s="90" t="s">
        <v>199</v>
      </c>
    </row>
    <row r="76" spans="1:9" x14ac:dyDescent="0.5">
      <c r="A76" t="s">
        <v>123</v>
      </c>
      <c r="B76">
        <v>2400</v>
      </c>
      <c r="C76">
        <v>1200</v>
      </c>
      <c r="D76">
        <v>9</v>
      </c>
      <c r="E76">
        <v>19</v>
      </c>
      <c r="F76" s="73">
        <v>550</v>
      </c>
      <c r="G76" s="74">
        <f>ROUNDUP((Conceal!$D$5/($B76/1000*$C76/1000)),)*(1+Conceal!$J$8)</f>
        <v>6.3000000000000007</v>
      </c>
      <c r="H76" s="74">
        <f t="shared" si="0"/>
        <v>119.70000000000002</v>
      </c>
      <c r="I76" s="89" t="s">
        <v>206</v>
      </c>
    </row>
    <row r="77" spans="1:9" x14ac:dyDescent="0.5">
      <c r="A77" t="s">
        <v>207</v>
      </c>
      <c r="B77">
        <v>2440</v>
      </c>
      <c r="C77">
        <v>1220</v>
      </c>
      <c r="D77">
        <v>12</v>
      </c>
      <c r="E77">
        <v>24.53</v>
      </c>
      <c r="F77" s="75">
        <v>680</v>
      </c>
      <c r="G77" s="74">
        <f>ROUNDUP((Conceal!$D$5/($B77/1000*$C77/1000)),)*(1+Conceal!$J$8)</f>
        <v>6.3000000000000007</v>
      </c>
      <c r="H77" s="74">
        <f t="shared" si="0"/>
        <v>154.53900000000002</v>
      </c>
      <c r="I77" s="89" t="s">
        <v>208</v>
      </c>
    </row>
    <row r="79" spans="1:9" x14ac:dyDescent="0.5">
      <c r="A79" t="s">
        <v>124</v>
      </c>
      <c r="B79">
        <v>2400</v>
      </c>
      <c r="C79">
        <v>1200</v>
      </c>
      <c r="D79">
        <v>12.5</v>
      </c>
      <c r="E79">
        <v>30.24</v>
      </c>
      <c r="F79" s="73">
        <v>765</v>
      </c>
      <c r="G79" s="74">
        <f>ROUNDUP((Conceal!$D$5/($B79/1000*$C79/1000)),)*(1+Conceal!$J$8)</f>
        <v>6.3000000000000007</v>
      </c>
      <c r="H79" s="74">
        <f t="shared" ref="H79:H128" si="2">G79*E79</f>
        <v>190.512</v>
      </c>
      <c r="I79" s="90" t="s">
        <v>201</v>
      </c>
    </row>
    <row r="81" spans="1:9" x14ac:dyDescent="0.5">
      <c r="A81" t="s">
        <v>125</v>
      </c>
      <c r="B81">
        <v>2400</v>
      </c>
      <c r="C81">
        <v>1200</v>
      </c>
      <c r="D81">
        <v>9</v>
      </c>
      <c r="E81">
        <v>19.87</v>
      </c>
      <c r="F81" s="73">
        <v>352</v>
      </c>
      <c r="G81" s="74">
        <f>ROUNDUP((Conceal!$D$5/($B81/1000*$C81/1000)),)*(1+Conceal!$J$8)</f>
        <v>6.3000000000000007</v>
      </c>
      <c r="H81" s="74">
        <f t="shared" si="2"/>
        <v>125.18100000000003</v>
      </c>
      <c r="I81" s="90" t="s">
        <v>202</v>
      </c>
    </row>
    <row r="82" spans="1:9" x14ac:dyDescent="0.5">
      <c r="A82" t="s">
        <v>126</v>
      </c>
      <c r="B82">
        <v>2400</v>
      </c>
      <c r="C82">
        <v>1200</v>
      </c>
      <c r="D82">
        <v>12</v>
      </c>
      <c r="E82">
        <v>25.52</v>
      </c>
      <c r="F82" s="73">
        <v>395</v>
      </c>
      <c r="G82" s="74">
        <f>ROUNDUP((Conceal!$D$5/($B82/1000*$C82/1000)),)*(1+Conceal!$J$8)</f>
        <v>6.3000000000000007</v>
      </c>
      <c r="H82" s="74">
        <f t="shared" si="2"/>
        <v>160.77600000000001</v>
      </c>
      <c r="I82" s="89" t="s">
        <v>203</v>
      </c>
    </row>
    <row r="84" spans="1:9" x14ac:dyDescent="0.5">
      <c r="A84" t="s">
        <v>127</v>
      </c>
      <c r="B84">
        <v>2400</v>
      </c>
      <c r="C84">
        <v>1200</v>
      </c>
      <c r="D84">
        <v>13</v>
      </c>
      <c r="E84">
        <v>29.25</v>
      </c>
      <c r="F84" s="73">
        <v>446</v>
      </c>
      <c r="G84" s="74">
        <f>ROUNDUP((Conceal!$D$5/($B84/1000*$C84/1000)),)*(1+Conceal!$J$8)</f>
        <v>6.3000000000000007</v>
      </c>
      <c r="H84" s="74">
        <f t="shared" si="2"/>
        <v>184.27500000000003</v>
      </c>
      <c r="I84" s="89" t="s">
        <v>204</v>
      </c>
    </row>
    <row r="85" spans="1:9" x14ac:dyDescent="0.5">
      <c r="A85" t="s">
        <v>128</v>
      </c>
      <c r="B85">
        <v>2400</v>
      </c>
      <c r="C85">
        <v>1200</v>
      </c>
      <c r="D85">
        <v>16</v>
      </c>
      <c r="E85">
        <v>36.92</v>
      </c>
      <c r="F85" s="73">
        <v>500</v>
      </c>
      <c r="G85" s="74">
        <f>ROUNDUP((Conceal!$D$5/($B85/1000*$C85/1000)),)*(1+Conceal!$J$8)</f>
        <v>6.3000000000000007</v>
      </c>
      <c r="H85" s="74">
        <f t="shared" si="2"/>
        <v>232.59600000000003</v>
      </c>
      <c r="I85" s="89" t="s">
        <v>205</v>
      </c>
    </row>
    <row r="87" spans="1:9" x14ac:dyDescent="0.5">
      <c r="A87" t="s">
        <v>129</v>
      </c>
      <c r="B87">
        <v>2400</v>
      </c>
      <c r="C87">
        <v>1200</v>
      </c>
      <c r="D87">
        <v>59</v>
      </c>
      <c r="E87">
        <v>22.2</v>
      </c>
      <c r="F87" s="73">
        <v>1990</v>
      </c>
      <c r="G87" s="74">
        <f>ROUNDUP((Conceal!$D$5/($B87/1000*$C87/1000)),)*(1+Conceal!$J$8)</f>
        <v>6.3000000000000007</v>
      </c>
      <c r="H87" s="74">
        <f t="shared" si="2"/>
        <v>139.86000000000001</v>
      </c>
      <c r="I87" s="89" t="s">
        <v>211</v>
      </c>
    </row>
    <row r="88" spans="1:9" x14ac:dyDescent="0.5">
      <c r="A88" t="s">
        <v>130</v>
      </c>
      <c r="B88">
        <v>2400</v>
      </c>
      <c r="C88">
        <v>1200</v>
      </c>
      <c r="D88">
        <v>44</v>
      </c>
      <c r="E88">
        <v>21.5</v>
      </c>
      <c r="F88" s="73">
        <v>1490</v>
      </c>
      <c r="G88" s="74">
        <f>ROUNDUP((Conceal!$D$5/($B88/1000*$C88/1000)),)*(1+Conceal!$J$8)</f>
        <v>6.3000000000000007</v>
      </c>
      <c r="H88" s="74">
        <f t="shared" si="2"/>
        <v>135.45000000000002</v>
      </c>
      <c r="I88" s="89" t="s">
        <v>210</v>
      </c>
    </row>
    <row r="89" spans="1:9" x14ac:dyDescent="0.5">
      <c r="A89" t="s">
        <v>131</v>
      </c>
      <c r="B89">
        <v>2400</v>
      </c>
      <c r="C89">
        <v>1200</v>
      </c>
      <c r="D89">
        <v>29</v>
      </c>
      <c r="E89">
        <v>20.9</v>
      </c>
      <c r="F89" s="73">
        <v>1050</v>
      </c>
      <c r="G89" s="74">
        <f>ROUNDUP((Conceal!$D$5/($B89/1000*$C89/1000)),)*(1+Conceal!$J$8)</f>
        <v>6.3000000000000007</v>
      </c>
      <c r="H89" s="74">
        <f t="shared" si="2"/>
        <v>131.67000000000002</v>
      </c>
      <c r="I89" s="89" t="s">
        <v>209</v>
      </c>
    </row>
    <row r="91" spans="1:9" x14ac:dyDescent="0.5">
      <c r="A91" t="s">
        <v>132</v>
      </c>
      <c r="B91">
        <v>2400</v>
      </c>
      <c r="C91">
        <v>1200</v>
      </c>
      <c r="D91">
        <v>59</v>
      </c>
      <c r="E91">
        <v>23.78</v>
      </c>
      <c r="F91" s="73">
        <v>2290</v>
      </c>
      <c r="G91" s="74">
        <f>ROUNDUP((Conceal!$D$5/($B91/1000*$C91/1000)),)*(1+Conceal!$J$8)</f>
        <v>6.3000000000000007</v>
      </c>
      <c r="H91" s="74">
        <f t="shared" si="2"/>
        <v>149.81400000000002</v>
      </c>
      <c r="I91" s="89" t="s">
        <v>212</v>
      </c>
    </row>
    <row r="92" spans="1:9" x14ac:dyDescent="0.5">
      <c r="A92" t="s">
        <v>133</v>
      </c>
      <c r="B92">
        <v>2400</v>
      </c>
      <c r="C92">
        <v>1200</v>
      </c>
      <c r="D92">
        <v>29</v>
      </c>
      <c r="E92">
        <v>22.48</v>
      </c>
      <c r="F92" s="73">
        <v>1210</v>
      </c>
      <c r="G92" s="74">
        <f>ROUNDUP((Conceal!$D$5/($B92/1000*$C92/1000)),)*(1+Conceal!$J$8)</f>
        <v>6.3000000000000007</v>
      </c>
      <c r="H92" s="74">
        <f t="shared" si="2"/>
        <v>141.62400000000002</v>
      </c>
      <c r="I92" s="89" t="s">
        <v>213</v>
      </c>
    </row>
    <row r="94" spans="1:9" ht="20.399999999999999" x14ac:dyDescent="0.55000000000000004">
      <c r="A94" s="76" t="s">
        <v>134</v>
      </c>
      <c r="B94" t="s">
        <v>85</v>
      </c>
      <c r="E94" t="s">
        <v>87</v>
      </c>
      <c r="G94" s="74" t="s">
        <v>88</v>
      </c>
    </row>
    <row r="95" spans="1:9" x14ac:dyDescent="0.5">
      <c r="A95" t="s">
        <v>102</v>
      </c>
      <c r="B95">
        <v>33</v>
      </c>
      <c r="E95">
        <v>0.01</v>
      </c>
      <c r="F95" s="73">
        <v>2</v>
      </c>
      <c r="G95" s="81">
        <f>(ROUNDUP(Conceal!$D$5/(Conceal!$J$7*Conceal!$J$7)+(1+(((Conceal!$J$5+Conceal!$J$4)*2)/0.3)),))*(1+Conceal!$J$8)</f>
        <v>69.3</v>
      </c>
      <c r="H95" s="74">
        <f t="shared" si="2"/>
        <v>0.69299999999999995</v>
      </c>
      <c r="I95" s="89" t="s">
        <v>214</v>
      </c>
    </row>
    <row r="97" spans="1:9" ht="20.399999999999999" x14ac:dyDescent="0.55000000000000004">
      <c r="A97" s="76" t="s">
        <v>285</v>
      </c>
      <c r="B97" t="s">
        <v>85</v>
      </c>
      <c r="E97" t="s">
        <v>87</v>
      </c>
      <c r="G97" s="74" t="s">
        <v>88</v>
      </c>
    </row>
    <row r="98" spans="1:9" x14ac:dyDescent="0.5">
      <c r="A98" t="s">
        <v>99</v>
      </c>
      <c r="B98">
        <v>25</v>
      </c>
      <c r="E98">
        <v>1</v>
      </c>
      <c r="F98" s="73">
        <v>95</v>
      </c>
      <c r="G98" s="81">
        <f>(Conceal!$D$6/2.88)*40*(1.3/1000)*(1+Conceal!$J$8)</f>
        <v>0.30333333333333334</v>
      </c>
      <c r="H98" s="74">
        <f t="shared" si="2"/>
        <v>0.30333333333333334</v>
      </c>
      <c r="I98" s="89" t="s">
        <v>215</v>
      </c>
    </row>
    <row r="99" spans="1:9" x14ac:dyDescent="0.5">
      <c r="A99" t="s">
        <v>135</v>
      </c>
      <c r="B99">
        <v>38</v>
      </c>
      <c r="E99">
        <v>1</v>
      </c>
      <c r="F99" s="73">
        <v>115</v>
      </c>
      <c r="G99" s="81">
        <f>(Conceal!$D$6/2.88)*40*(1.5/1000)*(1+Conceal!$J$8)</f>
        <v>0.35000000000000003</v>
      </c>
      <c r="H99" s="74">
        <f t="shared" si="2"/>
        <v>0.35000000000000003</v>
      </c>
      <c r="I99" s="89" t="s">
        <v>216</v>
      </c>
    </row>
    <row r="100" spans="1:9" x14ac:dyDescent="0.5">
      <c r="A100" t="s">
        <v>136</v>
      </c>
      <c r="B100">
        <v>25</v>
      </c>
      <c r="F100" s="73">
        <v>550</v>
      </c>
      <c r="G100" s="81">
        <f>0.03*Conceal!$D$6*(1+Conceal!$J$8)</f>
        <v>0.504</v>
      </c>
      <c r="I100" s="89" t="s">
        <v>217</v>
      </c>
    </row>
    <row r="101" spans="1:9" x14ac:dyDescent="0.5">
      <c r="A101" t="s">
        <v>137</v>
      </c>
      <c r="B101">
        <v>38</v>
      </c>
      <c r="F101" s="73">
        <v>600</v>
      </c>
      <c r="G101" s="81">
        <f>0.03*Conceal!$D$6*(1+Conceal!$J$8)</f>
        <v>0.504</v>
      </c>
      <c r="I101" s="89" t="s">
        <v>218</v>
      </c>
    </row>
    <row r="102" spans="1:9" x14ac:dyDescent="0.5">
      <c r="A102" t="s">
        <v>139</v>
      </c>
      <c r="B102">
        <v>45</v>
      </c>
      <c r="F102" s="73">
        <v>680</v>
      </c>
      <c r="G102" s="81">
        <f>0.03*Conceal!$D$6*(1+Conceal!$J$8)</f>
        <v>0.504</v>
      </c>
      <c r="I102" s="89" t="s">
        <v>219</v>
      </c>
    </row>
    <row r="103" spans="1:9" x14ac:dyDescent="0.5">
      <c r="A103" t="s">
        <v>138</v>
      </c>
      <c r="B103">
        <v>75</v>
      </c>
      <c r="E103">
        <v>1</v>
      </c>
      <c r="F103" s="73">
        <v>115</v>
      </c>
      <c r="G103" s="81">
        <f>(Conceal!$D$6/2.88)*40*(2.8/1000)*(1+Conceal!$J$8)</f>
        <v>0.65333333333333332</v>
      </c>
      <c r="H103" s="74">
        <f t="shared" si="2"/>
        <v>0.65333333333333332</v>
      </c>
      <c r="I103" s="89" t="s">
        <v>220</v>
      </c>
    </row>
    <row r="105" spans="1:9" ht="20.399999999999999" x14ac:dyDescent="0.55000000000000004">
      <c r="A105" s="76" t="s">
        <v>286</v>
      </c>
      <c r="B105" t="s">
        <v>85</v>
      </c>
      <c r="E105" t="s">
        <v>87</v>
      </c>
      <c r="G105" s="74" t="s">
        <v>88</v>
      </c>
    </row>
    <row r="106" spans="1:9" x14ac:dyDescent="0.5">
      <c r="A106" t="s">
        <v>135</v>
      </c>
      <c r="B106">
        <v>38</v>
      </c>
      <c r="E106">
        <v>1</v>
      </c>
      <c r="F106" s="73">
        <v>115</v>
      </c>
      <c r="G106" s="81">
        <f>(Conceal!$D$6/2.88)*40*(1.5/1000)*(1+Conceal!$J$8)</f>
        <v>0.35000000000000003</v>
      </c>
      <c r="H106" s="74">
        <f t="shared" si="2"/>
        <v>0.35000000000000003</v>
      </c>
      <c r="I106" s="89" t="s">
        <v>216</v>
      </c>
    </row>
    <row r="107" spans="1:9" x14ac:dyDescent="0.5">
      <c r="A107" t="s">
        <v>138</v>
      </c>
      <c r="B107">
        <v>75</v>
      </c>
      <c r="E107">
        <v>1</v>
      </c>
      <c r="F107" s="73">
        <v>115</v>
      </c>
      <c r="G107" s="81">
        <f>(Conceal!$D$6/2.88)*40*(2.8/1000)*(1+Conceal!$J$8)</f>
        <v>0.65333333333333332</v>
      </c>
      <c r="H107" s="74">
        <f t="shared" si="2"/>
        <v>0.65333333333333332</v>
      </c>
      <c r="I107" s="89" t="s">
        <v>220</v>
      </c>
    </row>
    <row r="108" spans="1:9" x14ac:dyDescent="0.5">
      <c r="A108" t="s">
        <v>137</v>
      </c>
      <c r="B108">
        <v>38</v>
      </c>
      <c r="F108" s="73">
        <v>600</v>
      </c>
      <c r="G108" s="81">
        <f>0.03*Conceal!$D$6*(1+Conceal!$J$8)</f>
        <v>0.504</v>
      </c>
      <c r="H108" s="74">
        <f t="shared" si="2"/>
        <v>0</v>
      </c>
      <c r="I108" s="89" t="s">
        <v>218</v>
      </c>
    </row>
    <row r="109" spans="1:9" x14ac:dyDescent="0.5">
      <c r="A109" t="s">
        <v>139</v>
      </c>
      <c r="B109">
        <v>45</v>
      </c>
      <c r="F109" s="73">
        <v>680</v>
      </c>
      <c r="G109" s="81">
        <f>0.03*Conceal!$D$6*(1+Conceal!$J$8)</f>
        <v>0.504</v>
      </c>
      <c r="H109" s="74">
        <f t="shared" si="2"/>
        <v>0</v>
      </c>
      <c r="I109" s="89" t="s">
        <v>219</v>
      </c>
    </row>
    <row r="112" spans="1:9" ht="20.399999999999999" x14ac:dyDescent="0.55000000000000004">
      <c r="A112" s="76" t="s">
        <v>140</v>
      </c>
      <c r="B112" t="s">
        <v>85</v>
      </c>
      <c r="E112" t="s">
        <v>87</v>
      </c>
      <c r="G112" s="74" t="s">
        <v>88</v>
      </c>
    </row>
    <row r="113" spans="1:9" x14ac:dyDescent="0.5">
      <c r="A113" t="s">
        <v>141</v>
      </c>
      <c r="B113">
        <v>13</v>
      </c>
      <c r="E113">
        <v>1</v>
      </c>
      <c r="F113" s="73">
        <v>320</v>
      </c>
      <c r="G113" s="81">
        <f>(((Conceal!$J$5/Conceal!$I$7)*(Conceal!$J$4/4)*2)*0.94/1000*(1+Conceal!$J$8))</f>
        <v>1.9739999999999997E-2</v>
      </c>
      <c r="H113" s="74">
        <f t="shared" si="2"/>
        <v>1.9739999999999997E-2</v>
      </c>
      <c r="I113" s="89" t="s">
        <v>221</v>
      </c>
    </row>
    <row r="116" spans="1:9" ht="20.399999999999999" x14ac:dyDescent="0.55000000000000004">
      <c r="A116" s="76" t="s">
        <v>142</v>
      </c>
      <c r="B116" t="s">
        <v>89</v>
      </c>
      <c r="E116" t="s">
        <v>87</v>
      </c>
      <c r="G116" s="74" t="s">
        <v>88</v>
      </c>
    </row>
    <row r="117" spans="1:9" x14ac:dyDescent="0.5">
      <c r="A117" t="s">
        <v>143</v>
      </c>
      <c r="B117">
        <v>25</v>
      </c>
      <c r="E117">
        <v>25</v>
      </c>
      <c r="F117" s="73">
        <v>212</v>
      </c>
      <c r="G117" s="81">
        <f>0.015*Conceal!$D$6*(1+Conceal!$J$8)</f>
        <v>0.252</v>
      </c>
      <c r="H117" s="74">
        <f t="shared" si="2"/>
        <v>6.3</v>
      </c>
      <c r="I117" s="89" t="s">
        <v>222</v>
      </c>
    </row>
    <row r="118" spans="1:9" x14ac:dyDescent="0.5">
      <c r="A118" t="s">
        <v>153</v>
      </c>
      <c r="B118">
        <v>20</v>
      </c>
      <c r="E118">
        <v>20</v>
      </c>
      <c r="F118" s="73">
        <v>190</v>
      </c>
      <c r="G118" s="81">
        <f>0.015*Conceal!$D$6*(1+Conceal!$J$8)</f>
        <v>0.252</v>
      </c>
      <c r="H118" s="74">
        <f t="shared" si="2"/>
        <v>5.04</v>
      </c>
      <c r="I118" s="89" t="s">
        <v>223</v>
      </c>
    </row>
    <row r="120" spans="1:9" ht="20.399999999999999" x14ac:dyDescent="0.55000000000000004">
      <c r="A120" s="76" t="s">
        <v>105</v>
      </c>
      <c r="B120" t="s">
        <v>144</v>
      </c>
      <c r="E120" t="s">
        <v>87</v>
      </c>
    </row>
    <row r="121" spans="1:9" x14ac:dyDescent="0.5">
      <c r="A121" t="s">
        <v>106</v>
      </c>
      <c r="B121">
        <v>25</v>
      </c>
      <c r="E121">
        <v>0.25</v>
      </c>
      <c r="F121" s="73">
        <v>37</v>
      </c>
      <c r="G121" s="74">
        <f>ROUNDUP(((1.2+2.4)*2*Conceal!$E$22/2)/$B121,)*(1+Conceal!$J$8)</f>
        <v>1.05</v>
      </c>
      <c r="H121" s="74">
        <f t="shared" si="2"/>
        <v>0.26250000000000001</v>
      </c>
      <c r="I121" s="89" t="s">
        <v>224</v>
      </c>
    </row>
    <row r="122" spans="1:9" x14ac:dyDescent="0.5">
      <c r="A122" t="s">
        <v>272</v>
      </c>
      <c r="B122">
        <v>20</v>
      </c>
      <c r="E122">
        <v>0.6</v>
      </c>
      <c r="F122" s="73">
        <v>31.5</v>
      </c>
      <c r="G122" s="74">
        <f>ROUNDUP(((1.2+2.4)*2*Conceal!$E$22/2)/$B122,)*(1+Conceal!$J$8)</f>
        <v>2.1</v>
      </c>
      <c r="H122" s="74">
        <f t="shared" si="2"/>
        <v>1.26</v>
      </c>
      <c r="I122" s="89" t="s">
        <v>273</v>
      </c>
    </row>
    <row r="124" spans="1:9" ht="20.399999999999999" x14ac:dyDescent="0.55000000000000004">
      <c r="A124" s="76" t="s">
        <v>145</v>
      </c>
      <c r="B124" t="s">
        <v>146</v>
      </c>
      <c r="E124" t="s">
        <v>87</v>
      </c>
      <c r="G124" s="74" t="s">
        <v>88</v>
      </c>
    </row>
    <row r="125" spans="1:9" x14ac:dyDescent="0.5">
      <c r="A125" t="s">
        <v>147</v>
      </c>
      <c r="B125">
        <v>1200</v>
      </c>
      <c r="C125">
        <v>15000</v>
      </c>
      <c r="D125">
        <v>50</v>
      </c>
      <c r="E125">
        <v>21.599999999999998</v>
      </c>
      <c r="F125" s="73">
        <v>3270</v>
      </c>
      <c r="G125" s="81">
        <f>Conceal!$D$6/($B125/1000*$C125/1000)*(1+Conceal!$J$8)</f>
        <v>0.93333333333333335</v>
      </c>
      <c r="H125" s="74">
        <f t="shared" si="2"/>
        <v>20.159999999999997</v>
      </c>
    </row>
    <row r="126" spans="1:9" x14ac:dyDescent="0.5">
      <c r="A126" t="s">
        <v>148</v>
      </c>
      <c r="B126">
        <v>600</v>
      </c>
      <c r="C126">
        <v>1200</v>
      </c>
      <c r="D126">
        <v>50</v>
      </c>
      <c r="E126">
        <v>1.44</v>
      </c>
      <c r="F126" s="73">
        <v>108</v>
      </c>
      <c r="G126" s="81">
        <f>Conceal!$D$6/($B126/1000*$C126/1000)*(1+Conceal!$J$8)</f>
        <v>23.333333333333332</v>
      </c>
      <c r="H126" s="74">
        <f t="shared" si="2"/>
        <v>33.599999999999994</v>
      </c>
    </row>
    <row r="127" spans="1:9" x14ac:dyDescent="0.5">
      <c r="A127" t="s">
        <v>154</v>
      </c>
      <c r="B127">
        <v>1200</v>
      </c>
      <c r="C127">
        <v>15000</v>
      </c>
      <c r="D127">
        <v>50</v>
      </c>
      <c r="E127">
        <f>24*1.2*15*0.05</f>
        <v>21.599999999999998</v>
      </c>
      <c r="F127" s="73">
        <v>3100</v>
      </c>
      <c r="G127" s="81">
        <f>Conceal!$D$6/($B127/1000*$C127/1000)*(1+Conceal!$J$8)</f>
        <v>0.93333333333333335</v>
      </c>
      <c r="H127" s="74">
        <f t="shared" si="2"/>
        <v>20.159999999999997</v>
      </c>
      <c r="I127" s="89" t="s">
        <v>225</v>
      </c>
    </row>
    <row r="128" spans="1:9" x14ac:dyDescent="0.5">
      <c r="A128" t="s">
        <v>155</v>
      </c>
      <c r="B128">
        <v>1200</v>
      </c>
      <c r="C128">
        <v>10000</v>
      </c>
      <c r="D128">
        <v>50</v>
      </c>
      <c r="E128">
        <f>40*1.2*10*0.05</f>
        <v>24</v>
      </c>
      <c r="F128" s="73">
        <v>3800</v>
      </c>
      <c r="G128" s="81">
        <f>Conceal!$D$6/($B128/1000*$C128/1000)*(1+Conceal!$J$8)</f>
        <v>1.4</v>
      </c>
      <c r="H128" s="74">
        <f t="shared" si="2"/>
        <v>33.599999999999994</v>
      </c>
      <c r="I128" s="89" t="s">
        <v>226</v>
      </c>
    </row>
    <row r="131" spans="1:7" ht="20.399999999999999" x14ac:dyDescent="0.55000000000000004">
      <c r="A131" s="76" t="s">
        <v>149</v>
      </c>
      <c r="B131" t="s">
        <v>150</v>
      </c>
      <c r="E131" t="s">
        <v>87</v>
      </c>
      <c r="G131" s="74" t="s">
        <v>88</v>
      </c>
    </row>
    <row r="132" spans="1:7" x14ac:dyDescent="0.5">
      <c r="A132" t="s">
        <v>151</v>
      </c>
      <c r="B132">
        <v>600</v>
      </c>
      <c r="E132">
        <v>0.6</v>
      </c>
      <c r="F132" s="73">
        <v>400</v>
      </c>
    </row>
    <row r="133" spans="1:7" x14ac:dyDescent="0.5">
      <c r="A133" t="s">
        <v>152</v>
      </c>
      <c r="B133">
        <v>600</v>
      </c>
      <c r="E133">
        <v>0.6</v>
      </c>
      <c r="F133" s="73">
        <v>600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7" t="s">
        <v>60</v>
      </c>
      <c r="B3" s="137"/>
      <c r="C3" s="137"/>
      <c r="D3" s="137"/>
      <c r="E3" s="137"/>
      <c r="F3" s="137"/>
      <c r="G3" s="137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38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39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42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42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42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Conceal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2019-10-21T02:19:35Z</cp:lastPrinted>
  <dcterms:created xsi:type="dcterms:W3CDTF">2000-02-15T08:37:35Z</dcterms:created>
  <dcterms:modified xsi:type="dcterms:W3CDTF">2020-04-15T08:02:05Z</dcterms:modified>
</cp:coreProperties>
</file>